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65" tabRatio="926" activeTab="0"/>
  </bookViews>
  <sheets>
    <sheet name=" BTH thang 2" sheetId="1" r:id="rId1"/>
    <sheet name="Vu ĐX 2022-2023" sheetId="2" r:id="rId2"/>
    <sheet name="Vu HT" sheetId="3" r:id="rId3"/>
    <sheet name="Vu Mua" sheetId="4" r:id="rId4"/>
    <sheet name="Cay CN dai ngay" sheetId="5" r:id="rId5"/>
    <sheet name="Sheet2" sheetId="6" r:id="rId6"/>
    <sheet name="Sheet4" sheetId="7" r:id="rId7"/>
    <sheet name="Sheet3" sheetId="8" r:id="rId8"/>
  </sheets>
  <externalReferences>
    <externalReference r:id="rId11"/>
  </externalReferences>
  <definedNames>
    <definedName name="_xlnm.Print_Titles" localSheetId="0">' BTH thang 2'!$4:$4</definedName>
    <definedName name="_xlnm.Print_Titles" localSheetId="4">'Cay CN dai ngay'!$3:$3</definedName>
    <definedName name="_xlnm.Print_Titles" localSheetId="1">'Vu ĐX 2022-2023'!$3:$3</definedName>
    <definedName name="_xlnm.Print_Titles" localSheetId="2">'Vu HT'!$3:$3</definedName>
    <definedName name="_xlnm.Print_Titles" localSheetId="3">'Vu Mua'!$3:$3</definedName>
  </definedNames>
  <calcPr fullCalcOnLoad="1"/>
</workbook>
</file>

<file path=xl/comments5.xml><?xml version="1.0" encoding="utf-8"?>
<comments xmlns="http://schemas.openxmlformats.org/spreadsheetml/2006/main">
  <authors>
    <author>Ulysses R. Gotera</author>
  </authors>
  <commentList>
    <comment ref="A4" authorId="0">
      <text>
        <r>
          <rPr>
            <b/>
            <sz val="8"/>
            <rFont val="Tahoma"/>
            <family val="2"/>
          </rPr>
          <t>Ulysses R. Gotera: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<sst xmlns="http://schemas.openxmlformats.org/spreadsheetml/2006/main" count="825" uniqueCount="324">
  <si>
    <t>Hạng mục</t>
  </si>
  <si>
    <t>Đà Lạt</t>
  </si>
  <si>
    <t>Đam
Rông</t>
  </si>
  <si>
    <t>Lâm Hà</t>
  </si>
  <si>
    <t>Di Linh</t>
  </si>
  <si>
    <t>Bảo
Lâm</t>
  </si>
  <si>
    <t>Đạ
Huoai</t>
  </si>
  <si>
    <t>Đạ Tẻh</t>
  </si>
  <si>
    <t>Cát
Tiên</t>
  </si>
  <si>
    <t>TH so với
KH (%)</t>
  </si>
  <si>
    <t>(Diện tích: Ha; Năng suất: Tạ/ha; Sản lượng: Tấn)</t>
  </si>
  <si>
    <t>TỔNG DIỆN TÍCH GT</t>
  </si>
  <si>
    <t>TỔNG SẢN LƯỢNG LT</t>
  </si>
  <si>
    <t xml:space="preserve"> - Thóc</t>
  </si>
  <si>
    <t xml:space="preserve"> - Ngô</t>
  </si>
  <si>
    <t>I. CÂY HÀNG NĂM</t>
  </si>
  <si>
    <t>1. Cây lúa</t>
  </si>
  <si>
    <t>DT thu hoạch</t>
  </si>
  <si>
    <t xml:space="preserve">        Năng suất</t>
  </si>
  <si>
    <t xml:space="preserve">        Sản lượng</t>
  </si>
  <si>
    <t>DT nhiễm bệnh vàng lùn</t>
  </si>
  <si>
    <t>2. Cây ngô</t>
  </si>
  <si>
    <t>3. Sắn DT cả năm</t>
  </si>
  <si>
    <t>4.2. Khoai lang vụ 1 (Hè thu)</t>
  </si>
  <si>
    <t>4.3. Khoai lang vụ 2 (Mùa)</t>
  </si>
  <si>
    <t>6.1. Cây đậu phụng, đậu tương</t>
  </si>
  <si>
    <t>* Đậu phụng, đậu tương vụ 1 (ĐX)</t>
  </si>
  <si>
    <t>* Đậu tương, đậu tương vụ 2 (HT)</t>
  </si>
  <si>
    <t>6.2. Đậu các loại</t>
  </si>
  <si>
    <t>6.3. Cây mía DT cả năm</t>
  </si>
  <si>
    <t>7.1. Rau các loại vụ Đông xuân</t>
  </si>
  <si>
    <t>7.2. Rau các loại vụ Hè thu</t>
  </si>
  <si>
    <t>7.3. Rau các loại vụ Mùa</t>
  </si>
  <si>
    <t xml:space="preserve">        Năng suất (1.000 cành)</t>
  </si>
  <si>
    <t xml:space="preserve">        Sản lượng (1.000 cành)</t>
  </si>
  <si>
    <t>8.1. Hoa các loại vụ Đông xuân</t>
  </si>
  <si>
    <t>8.2. Vụ Hè thu</t>
  </si>
  <si>
    <t>8.3. Vụ Thu Đông</t>
  </si>
  <si>
    <t>9. Cây dược liệu DT cả năm</t>
  </si>
  <si>
    <t>10. Dâu tây DT cả năm</t>
  </si>
  <si>
    <t>11. Trồng cỏ DT cả năm</t>
  </si>
  <si>
    <t>II. CÂY DÀI NGÀY</t>
  </si>
  <si>
    <t>DT kinh doanh</t>
  </si>
  <si>
    <t>DT trồng tái canh</t>
  </si>
  <si>
    <t>DT ghép cải tạo</t>
  </si>
  <si>
    <t>DT trồng mới, chuyển đổi</t>
  </si>
  <si>
    <t>DT dâu lai</t>
  </si>
  <si>
    <t xml:space="preserve"> TĐ : - Cao su tiểu điền</t>
  </si>
  <si>
    <t xml:space="preserve">          - Cao su đại điền</t>
  </si>
  <si>
    <t xml:space="preserve">  - Năng suất</t>
  </si>
  <si>
    <t xml:space="preserve">  - Sản lượng</t>
  </si>
  <si>
    <t>10. Cây mắc ca</t>
  </si>
  <si>
    <t>DT đất nông nghiệp</t>
  </si>
  <si>
    <t>DT đất lâm nghiệp</t>
  </si>
  <si>
    <t>5. khoai khác cả năm (khoai môn)</t>
  </si>
  <si>
    <t>12. Cây khác (gừng, cà ri ..cả năm)</t>
  </si>
  <si>
    <t xml:space="preserve"> - Tổng DT tái canh, ghép cải tạo</t>
  </si>
  <si>
    <t xml:space="preserve"> - DT trồng mới</t>
  </si>
  <si>
    <t xml:space="preserve">               DT cây thực sinh</t>
  </si>
  <si>
    <t xml:space="preserve">               DT cây ghép</t>
  </si>
  <si>
    <t xml:space="preserve">       + DT ghép cải tạo</t>
  </si>
  <si>
    <t>TĐ:  - DT cà phê vối</t>
  </si>
  <si>
    <t xml:space="preserve">        - DT cà phê chè</t>
  </si>
  <si>
    <t xml:space="preserve">        - DT cà phê mít</t>
  </si>
  <si>
    <t>11. Cây Mác mác (Chanh dây)</t>
  </si>
  <si>
    <t xml:space="preserve">                                         (Diện tích: Ha; Năng suất: Tạ/ha; Sản lượng: Tấn)</t>
  </si>
  <si>
    <t>HẠNG MỤC</t>
  </si>
  <si>
    <t>TH so với KH (%)</t>
  </si>
  <si>
    <t>A/ TRỒNG TRỌT</t>
  </si>
  <si>
    <t>THÓC</t>
  </si>
  <si>
    <t>NGÔ</t>
  </si>
  <si>
    <t>DT bị hạn</t>
  </si>
  <si>
    <t xml:space="preserve">DT thu hoạch </t>
  </si>
  <si>
    <t xml:space="preserve"> Năng suất </t>
  </si>
  <si>
    <t>Sản lượng</t>
  </si>
  <si>
    <t>TĐ : Dưa hấu</t>
  </si>
  <si>
    <t>Năng suất (1.000 cành)</t>
  </si>
  <si>
    <t>Sản lượng (1.000 cành)</t>
  </si>
  <si>
    <t xml:space="preserve">           DT thu hoạch</t>
  </si>
  <si>
    <t xml:space="preserve">           Năng suất</t>
  </si>
  <si>
    <t xml:space="preserve">           Sản lượng</t>
  </si>
  <si>
    <t xml:space="preserve">                  DT thu hoạch</t>
  </si>
  <si>
    <t xml:space="preserve">                  Diện tích thu hoạch</t>
  </si>
  <si>
    <t>CÂY DÀI NGÀY</t>
  </si>
  <si>
    <t xml:space="preserve">         Năng suất</t>
  </si>
  <si>
    <t xml:space="preserve">         Sản lượng</t>
  </si>
  <si>
    <t>DT trồng tái canh, ghép cải tạo</t>
  </si>
  <si>
    <t>Diện tích kinh doanh</t>
  </si>
  <si>
    <t>Diện tích điều ghép</t>
  </si>
  <si>
    <t>DT trồng mới</t>
  </si>
  <si>
    <t xml:space="preserve"> - Cao su tiểu điền</t>
  </si>
  <si>
    <t xml:space="preserve"> - Cao su đại diền</t>
  </si>
  <si>
    <t>10. Cây Mắc ca</t>
  </si>
  <si>
    <t>11. Cây chanh dây (mác mác)</t>
  </si>
  <si>
    <t xml:space="preserve">    DT đất nông nghiệp</t>
  </si>
  <si>
    <t xml:space="preserve">   DT đất lâm nghiệp</t>
  </si>
  <si>
    <t xml:space="preserve">          DT trồng xen</t>
  </si>
  <si>
    <t xml:space="preserve">          DT trồng thuần</t>
  </si>
  <si>
    <t xml:space="preserve">                 Sản lượng</t>
  </si>
  <si>
    <t xml:space="preserve">                 Năng suất</t>
  </si>
  <si>
    <t xml:space="preserve">                 DT kinh doanh</t>
  </si>
  <si>
    <t>TĐ: - Chè cành cao sản</t>
  </si>
  <si>
    <t xml:space="preserve">       - Chè chất lượng cao</t>
  </si>
  <si>
    <t xml:space="preserve">       - Chè hạt</t>
  </si>
  <si>
    <t>Bảo Lộc</t>
  </si>
  <si>
    <t>Lạc Dương</t>
  </si>
  <si>
    <t>Đơn Dương</t>
  </si>
  <si>
    <t>Đức Trọng</t>
  </si>
  <si>
    <t>Đam Rông</t>
  </si>
  <si>
    <t>Lạc 
Dương</t>
  </si>
  <si>
    <t>Đức 
Trọng</t>
  </si>
  <si>
    <t>Di 
Linh</t>
  </si>
  <si>
    <t>Bảo 
Lộc</t>
  </si>
  <si>
    <t>Đam
 Rông</t>
  </si>
  <si>
    <t>Lâm
 Hà</t>
  </si>
  <si>
    <t>Bảo Lâm</t>
  </si>
  <si>
    <t>Bảo 
Lâm</t>
  </si>
  <si>
    <t>Đạ Huoai</t>
  </si>
  <si>
    <t>Cát Tiên</t>
  </si>
  <si>
    <t>Đạ 
Tẻh</t>
  </si>
  <si>
    <t>Đạ 
Huoai</t>
  </si>
  <si>
    <t xml:space="preserve">3. DT điều </t>
  </si>
  <si>
    <t xml:space="preserve">1. Cà phê </t>
  </si>
  <si>
    <t xml:space="preserve">         - Cà phê mít</t>
  </si>
  <si>
    <t>Diện tích trồng mới</t>
  </si>
  <si>
    <t xml:space="preserve">2. Chè   </t>
  </si>
  <si>
    <t xml:space="preserve">4. Cây tiêu  </t>
  </si>
  <si>
    <t xml:space="preserve">5. Cây dâu   </t>
  </si>
  <si>
    <t xml:space="preserve">6. Cây ăn quả   </t>
  </si>
  <si>
    <t xml:space="preserve">7. Cây ca cao   </t>
  </si>
  <si>
    <t xml:space="preserve">9. Cây cao su </t>
  </si>
  <si>
    <t>TĐ: - Cây hồng ăn quả</t>
  </si>
  <si>
    <t xml:space="preserve">     DT kinh doanh</t>
  </si>
  <si>
    <t xml:space="preserve"> - Cây sầu riêng</t>
  </si>
  <si>
    <t xml:space="preserve"> - Cây bơ</t>
  </si>
  <si>
    <t xml:space="preserve"> - Cây măng cụt</t>
  </si>
  <si>
    <t xml:space="preserve"> - Cây mít</t>
  </si>
  <si>
    <t xml:space="preserve"> - Cây chuối</t>
  </si>
  <si>
    <t xml:space="preserve"> - Cây dứa</t>
  </si>
  <si>
    <t xml:space="preserve"> - Cây ăn quả khác</t>
  </si>
  <si>
    <t xml:space="preserve"> - Cây chôm chôm</t>
  </si>
  <si>
    <t xml:space="preserve">1.1. Lúa Đông xuân </t>
  </si>
  <si>
    <t xml:space="preserve">1.2. Lúa Hè thu </t>
  </si>
  <si>
    <t xml:space="preserve">1.3. Lúa Mùa </t>
  </si>
  <si>
    <t xml:space="preserve">1.4. Lúa rẫy </t>
  </si>
  <si>
    <t xml:space="preserve">2.1. Ngô Đông xuân </t>
  </si>
  <si>
    <t xml:space="preserve">2.2. Ngô vụ  1 Hè thu </t>
  </si>
  <si>
    <t xml:space="preserve">2.3. Ngô vụ 2 Mùa </t>
  </si>
  <si>
    <t xml:space="preserve">4. Khoai lang </t>
  </si>
  <si>
    <t xml:space="preserve">6. Cây công nghiệp ngắn ngày </t>
  </si>
  <si>
    <t xml:space="preserve">* Vụ Đông xuân </t>
  </si>
  <si>
    <t xml:space="preserve">* Vụ 1 (Hè thu) </t>
  </si>
  <si>
    <t xml:space="preserve">* Vụ 2 (Mùa) </t>
  </si>
  <si>
    <t xml:space="preserve">7. Rau các loại </t>
  </si>
  <si>
    <t xml:space="preserve">8. Hoa các loại </t>
  </si>
  <si>
    <t xml:space="preserve">1. Cây cà phê </t>
  </si>
  <si>
    <t xml:space="preserve">2. Cây chè </t>
  </si>
  <si>
    <t xml:space="preserve">3. Cây điều </t>
  </si>
  <si>
    <t xml:space="preserve">4. Cây tiêu </t>
  </si>
  <si>
    <t xml:space="preserve">5. Cây dâu </t>
  </si>
  <si>
    <t xml:space="preserve">6. Cây ăn quả </t>
  </si>
  <si>
    <t xml:space="preserve">7. Cây ca cao </t>
  </si>
  <si>
    <t xml:space="preserve"> 1. Lúa    </t>
  </si>
  <si>
    <t xml:space="preserve">2. Ngô         </t>
  </si>
  <si>
    <t xml:space="preserve">3. Khoai lang  </t>
  </si>
  <si>
    <t xml:space="preserve">4. Đậu phụng, đậu tương   </t>
  </si>
  <si>
    <t xml:space="preserve">5. Đậu các loại  thực phẩm   </t>
  </si>
  <si>
    <t xml:space="preserve">7. Hoa các loại   </t>
  </si>
  <si>
    <t xml:space="preserve">6. Rau đậu các loại  </t>
  </si>
  <si>
    <t xml:space="preserve">1. Lúa    </t>
  </si>
  <si>
    <t xml:space="preserve">2. Ngô  </t>
  </si>
  <si>
    <t xml:space="preserve">3. Khoai lang vụ 1 </t>
  </si>
  <si>
    <t xml:space="preserve">4. Đậu phụng và đậu tương  </t>
  </si>
  <si>
    <t xml:space="preserve">5. Đậu các loại  </t>
  </si>
  <si>
    <t xml:space="preserve">6. Rau đậu các loại </t>
  </si>
  <si>
    <t xml:space="preserve">7. Hoa các loại  vụ Hè thu </t>
  </si>
  <si>
    <t xml:space="preserve">1. Lúa  </t>
  </si>
  <si>
    <t xml:space="preserve">3. Khoai lang  vụ 2 </t>
  </si>
  <si>
    <t xml:space="preserve">7. Hoa các loại: Vụ Mủa </t>
  </si>
  <si>
    <t xml:space="preserve">5. Đậu các loại </t>
  </si>
  <si>
    <t xml:space="preserve">4. Đậu phụng và đậu tương </t>
  </si>
  <si>
    <t>4.1. Khoai lang vụ ĐX</t>
  </si>
  <si>
    <t>DT điều chuyển sang cây trồng khác</t>
  </si>
  <si>
    <t>DT chuyển sang cây trồng khác</t>
  </si>
  <si>
    <t>8. Cây tre măng và tre tầm vông</t>
  </si>
  <si>
    <t>8. Cây tre lấy măng và tầm vông</t>
  </si>
  <si>
    <t xml:space="preserve"> + DT trồng tái canh cà phê vối</t>
  </si>
  <si>
    <t xml:space="preserve"> + DT trồng tái canh cà phê chè</t>
  </si>
  <si>
    <t xml:space="preserve">          - DT cây ghép</t>
  </si>
  <si>
    <t xml:space="preserve">          - DT cây thực sinh</t>
  </si>
  <si>
    <t xml:space="preserve">DT trồng mới, chuyển đổi </t>
  </si>
  <si>
    <t>TH so với
CK (%)</t>
  </si>
  <si>
    <t>T 10-2018</t>
  </si>
  <si>
    <t xml:space="preserve"> so với CK (%)</t>
  </si>
  <si>
    <t xml:space="preserve"> - Cây dâu tằm</t>
  </si>
  <si>
    <t xml:space="preserve"> - Cây cao su</t>
  </si>
  <si>
    <t xml:space="preserve"> - Cây tràm</t>
  </si>
  <si>
    <t xml:space="preserve"> - Cây ăn quả </t>
  </si>
  <si>
    <t xml:space="preserve"> - Tre tầm vông</t>
  </si>
  <si>
    <t xml:space="preserve"> + DT ghép cải tạo cà phê chè</t>
  </si>
  <si>
    <t xml:space="preserve"> + DT ghép cải tạo cà phê vối</t>
  </si>
  <si>
    <t>DT cây che bóng</t>
  </si>
  <si>
    <t xml:space="preserve">         - Cà phê chè</t>
  </si>
  <si>
    <t xml:space="preserve"> TĐ: -  Cà phê vối</t>
  </si>
  <si>
    <t>TĐ: DT trồng trên đất nông nghiệp</t>
  </si>
  <si>
    <t xml:space="preserve">       DT trồng trên đất lâm nghiệp</t>
  </si>
  <si>
    <t xml:space="preserve"> - Cây nho</t>
  </si>
  <si>
    <t xml:space="preserve"> - Cây thanh long</t>
  </si>
  <si>
    <t>Diện tích điều hạt</t>
  </si>
  <si>
    <t>TĐ: Trồng tái canh, ghép cải tạo cà phê</t>
  </si>
  <si>
    <t xml:space="preserve">         - Trồng tái canh cà phê chè</t>
  </si>
  <si>
    <t xml:space="preserve">         - Trồng tái canh cà phê vối</t>
  </si>
  <si>
    <t xml:space="preserve">         - Ghép cải tạo cà phê vối</t>
  </si>
  <si>
    <t>Tổng DT trồng mới, chuyển đổi</t>
  </si>
  <si>
    <t xml:space="preserve">      TĐ: chuyển đổi đất điều </t>
  </si>
  <si>
    <t xml:space="preserve">    + Cây sầu riêng</t>
  </si>
  <si>
    <t xml:space="preserve">    + Cây Bơ</t>
  </si>
  <si>
    <t xml:space="preserve">    + Cây mít</t>
  </si>
  <si>
    <t xml:space="preserve">    + Cây măng cụt</t>
  </si>
  <si>
    <t xml:space="preserve">    + Cây chôm chôm</t>
  </si>
  <si>
    <t xml:space="preserve">    + Cây có múi</t>
  </si>
  <si>
    <t xml:space="preserve">     + Cây ăn quả khác</t>
  </si>
  <si>
    <t>DT trồng mới, tái canh</t>
  </si>
  <si>
    <t>Cây khác</t>
  </si>
  <si>
    <t>TĐ: + DT trồng tái canh cà phê vối</t>
  </si>
  <si>
    <t xml:space="preserve">      3) Cây khác</t>
  </si>
  <si>
    <t>4) Chuyển đổi cây trồng trên đất lúa</t>
  </si>
  <si>
    <t>Tổng diện tích chuyển đổi</t>
  </si>
  <si>
    <t xml:space="preserve">                  Trồng tái canh</t>
  </si>
  <si>
    <t xml:space="preserve">             Chuyển đổi cây trồng khác</t>
  </si>
  <si>
    <t xml:space="preserve">      2) Chuyển đổi đất điều </t>
  </si>
  <si>
    <t>1) Tái canh, ghép cải tạo cà phê</t>
  </si>
  <si>
    <t xml:space="preserve">                DT kinh doanh</t>
  </si>
  <si>
    <t xml:space="preserve">                Năng suất</t>
  </si>
  <si>
    <t xml:space="preserve">                Sản lượng</t>
  </si>
  <si>
    <t xml:space="preserve"> - Cây bưởi</t>
  </si>
  <si>
    <t xml:space="preserve">        - Dưa hấu</t>
  </si>
  <si>
    <t xml:space="preserve"> TĐ: - Ngô</t>
  </si>
  <si>
    <t xml:space="preserve">        - Hoa</t>
  </si>
  <si>
    <t xml:space="preserve">        - Dâu tằm</t>
  </si>
  <si>
    <t xml:space="preserve">        - Khoai lang</t>
  </si>
  <si>
    <t xml:space="preserve">        - Rau các loại</t>
  </si>
  <si>
    <t xml:space="preserve">        - Đậu các loại</t>
  </si>
  <si>
    <t>KH Lúa</t>
  </si>
  <si>
    <t>KH Ngô</t>
  </si>
  <si>
    <t>KH Khoai lang</t>
  </si>
  <si>
    <t>KH đậu các loại</t>
  </si>
  <si>
    <t>KH hoa</t>
  </si>
  <si>
    <t>KH đậu phụng, đậu tương</t>
  </si>
  <si>
    <t>KH rau các loại</t>
  </si>
  <si>
    <t>KH ngô</t>
  </si>
  <si>
    <t>KH hoa các loại</t>
  </si>
  <si>
    <t>KH lúa</t>
  </si>
  <si>
    <t>KH khoai lang</t>
  </si>
  <si>
    <t>Tên chỉ tiêu</t>
  </si>
  <si>
    <t>Đơn giá
năm 2010 (1.000đ)</t>
  </si>
  <si>
    <t>Sản lượng
(Tấn)</t>
  </si>
  <si>
    <t>Giá trị 
(Triệu đ)</t>
  </si>
  <si>
    <t>TỔNG CỘNG</t>
  </si>
  <si>
    <t>I. Cây hàng năm</t>
  </si>
  <si>
    <t>1. Lúa (hạt khô)</t>
  </si>
  <si>
    <t xml:space="preserve"> Lúa đông xuân</t>
  </si>
  <si>
    <t xml:space="preserve"> Lúa Hè thu</t>
  </si>
  <si>
    <t xml:space="preserve"> Lúa Mùa</t>
  </si>
  <si>
    <t>2. Ngô (hạt khô)</t>
  </si>
  <si>
    <t>3. Sắn (tươi)</t>
  </si>
  <si>
    <t>4. Khoai lang (tươi)</t>
  </si>
  <si>
    <t>5. Khoai khác (tươi)</t>
  </si>
  <si>
    <t>6. Đậu phụng, đậu tương</t>
  </si>
  <si>
    <t>7. Đậu các loại</t>
  </si>
  <si>
    <t xml:space="preserve">8. Mía </t>
  </si>
  <si>
    <t>9. Rau các loại</t>
  </si>
  <si>
    <t>TĐ: a) Rau lấy lá (cải bắp súp lơ, cải các loại, bó xôi, cải thảo,…)</t>
  </si>
  <si>
    <t xml:space="preserve"> b) Rau lấy quả (dưa hấu, dưa chuột, bí xanh, bí đỏ,…)</t>
  </si>
  <si>
    <t xml:space="preserve"> c) Rau lấy rẽ, củ (cà rốt, su hào, khai tây, củ cải, tỏi, hành tây,..)</t>
  </si>
  <si>
    <t xml:space="preserve"> d) Rau khác</t>
  </si>
  <si>
    <t>10. Hoa các loại (1000 cành)</t>
  </si>
  <si>
    <t>11. Cây dược liệu</t>
  </si>
  <si>
    <t>12. Dâu Tây</t>
  </si>
  <si>
    <t>II. Cây dài ngày</t>
  </si>
  <si>
    <t>1. Cà phê</t>
  </si>
  <si>
    <t>2. Chè</t>
  </si>
  <si>
    <t>3. Điều</t>
  </si>
  <si>
    <t>4. Tiêu</t>
  </si>
  <si>
    <t>5. Dâu</t>
  </si>
  <si>
    <t>6. Cây ăn quả các loại</t>
  </si>
  <si>
    <t>7. Ca cao</t>
  </si>
  <si>
    <t>8. Cao su</t>
  </si>
  <si>
    <t>10. Chanh dây</t>
  </si>
  <si>
    <t>9. Mắc ca (tạm tính quả)</t>
  </si>
  <si>
    <t>DT không thu hoạch bị ngập úng</t>
  </si>
  <si>
    <t xml:space="preserve"> - Cây cà phê</t>
  </si>
  <si>
    <t xml:space="preserve">        - Lạc</t>
  </si>
  <si>
    <t xml:space="preserve">        - Đậu tương</t>
  </si>
  <si>
    <t xml:space="preserve">        - Sắn</t>
  </si>
  <si>
    <t xml:space="preserve">        - Cây trồng khác</t>
  </si>
  <si>
    <t xml:space="preserve"> - Mía</t>
  </si>
  <si>
    <t>TH 2020</t>
  </si>
  <si>
    <t>KH 2021</t>
  </si>
  <si>
    <t>ƯTH 2021</t>
  </si>
  <si>
    <t>ƯTH so với
KH (%)</t>
  </si>
  <si>
    <t>Ước thực hiện DT cây trồng xen</t>
  </si>
  <si>
    <t>Tăng giảm</t>
  </si>
  <si>
    <t>TH quý III/2021</t>
  </si>
  <si>
    <t>TH 9 tháng/2021</t>
  </si>
  <si>
    <t>So sánh sản lượng</t>
  </si>
  <si>
    <t>So sánh giá trị</t>
  </si>
  <si>
    <t>% Tỷ trọng</t>
  </si>
  <si>
    <t>Cùng kỳ</t>
  </si>
  <si>
    <t>Kế hoạch</t>
  </si>
  <si>
    <t>ƯTH</t>
  </si>
  <si>
    <t xml:space="preserve"> PHỤ LỤC: TIẾN ĐỘ SẢN XUẤT VỤ ĐÔNG XUÂN 2022 - 2023</t>
  </si>
  <si>
    <t>KH 2023</t>
  </si>
  <si>
    <t>TH
2023</t>
  </si>
  <si>
    <t>TH 2023</t>
  </si>
  <si>
    <t>PHỤ LỤC: DIỆN TÍCH, NĂNG SUẤT, SẢN LƯỢNG VỤ HÈ THU SỚM NĂM 2023</t>
  </si>
  <si>
    <t>PHỤ LỤC: TIẾN ĐỘ SẢN XUẤT VỤ MÙA NĂM 2023</t>
  </si>
  <si>
    <t>BẢNG ƯỚC TÍNH GIÁ TRỊ SẢN XUẤT 3 THÁNG ĐẦU NĂM 2023</t>
  </si>
  <si>
    <t>Kế hoạch 2023</t>
  </si>
  <si>
    <t>Ước thực hiện 3 tháng/2023</t>
  </si>
  <si>
    <t>% So với CK 2022</t>
  </si>
  <si>
    <t>% So với KH 2023</t>
  </si>
  <si>
    <t>PHỤ LỤC 1: SẢN XUẤT NÔNG NGHIỆP THỰC HIỆN THÁNG 02 NĂM 2023</t>
  </si>
  <si>
    <t>PHỤ LỤC: DIỆN TÍCH CÂY TRỒNG DÀI NGÀY LŨY KẾ  ĐẾN THÁNG 02 NĂM 2023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</si>
</sst>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;\-&quot;US$&quot;#,##0"/>
    <numFmt numFmtId="173" formatCode="&quot;US$&quot;#,##0;[Red]\-&quot;US$&quot;#,##0"/>
    <numFmt numFmtId="174" formatCode="&quot;US$&quot;#,##0.00;\-&quot;US$&quot;#,##0.00"/>
    <numFmt numFmtId="175" formatCode="&quot;US$&quot;#,##0.00;[Red]\-&quot;US$&quot;#,##0.00"/>
    <numFmt numFmtId="176" formatCode="_-&quot;US$&quot;* #,##0_-;\-&quot;US$&quot;* #,##0_-;_-&quot;US$&quot;* &quot;-&quot;_-;_-@_-"/>
    <numFmt numFmtId="177" formatCode="_-&quot;US$&quot;* #,##0.00_-;\-&quot;US$&quot;* #,##0.00_-;_-&quot;US$&quot;* &quot;-&quot;??_-;_-@_-"/>
    <numFmt numFmtId="178" formatCode="#,##0.0;[Red]#,##0.0"/>
    <numFmt numFmtId="179" formatCode="#,##0.00;[Red]#,##0.00"/>
    <numFmt numFmtId="180" formatCode="#,##0.0"/>
    <numFmt numFmtId="181" formatCode="#,##0;[Red]#,##0"/>
    <numFmt numFmtId="182" formatCode="0.0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#,##0.000;[Red]#,##0.000"/>
    <numFmt numFmtId="187" formatCode="#.##0.0;[Red]#.##0.0"/>
    <numFmt numFmtId="188" formatCode="#.##0.0"/>
    <numFmt numFmtId="189" formatCode="_-* #,##0.0_-;\-* #,##0.0_-;_-* &quot;-&quot;??_-;_-@_-"/>
  </numFmts>
  <fonts count="83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8"/>
      <name val="Times New Roman"/>
      <family val="1"/>
    </font>
    <font>
      <b/>
      <sz val="7.5"/>
      <color indexed="8"/>
      <name val="Times New Roman"/>
      <family val="1"/>
    </font>
    <font>
      <b/>
      <sz val="7.5"/>
      <color indexed="10"/>
      <name val="Times New Roman"/>
      <family val="1"/>
    </font>
    <font>
      <sz val="7.5"/>
      <color indexed="8"/>
      <name val="Times New Roman"/>
      <family val="1"/>
    </font>
    <font>
      <b/>
      <i/>
      <sz val="7.5"/>
      <color indexed="8"/>
      <name val="Times New Roman"/>
      <family val="1"/>
    </font>
    <font>
      <b/>
      <i/>
      <sz val="7.5"/>
      <color indexed="10"/>
      <name val="Times New Roman"/>
      <family val="1"/>
    </font>
    <font>
      <sz val="7.5"/>
      <color indexed="10"/>
      <name val="Times New Roman"/>
      <family val="1"/>
    </font>
    <font>
      <b/>
      <i/>
      <sz val="7.5"/>
      <color indexed="12"/>
      <name val="Times New Roman"/>
      <family val="1"/>
    </font>
    <font>
      <sz val="7.5"/>
      <color indexed="12"/>
      <name val="Times New Roman"/>
      <family val="1"/>
    </font>
    <font>
      <sz val="7.5"/>
      <color indexed="18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i/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sz val="8"/>
      <color indexed="60"/>
      <name val="Times New Roman"/>
      <family val="1"/>
    </font>
    <font>
      <sz val="8"/>
      <color indexed="30"/>
      <name val="Times New Roman"/>
      <family val="1"/>
    </font>
    <font>
      <sz val="8"/>
      <color indexed="56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8"/>
      <color theme="1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i/>
      <sz val="8"/>
      <color theme="1"/>
      <name val="Times New Roman"/>
      <family val="1"/>
    </font>
    <font>
      <b/>
      <i/>
      <sz val="8"/>
      <color rgb="FFFF0000"/>
      <name val="Times New Roman"/>
      <family val="1"/>
    </font>
    <font>
      <i/>
      <sz val="8"/>
      <color rgb="FFFF0000"/>
      <name val="Times New Roman"/>
      <family val="1"/>
    </font>
    <font>
      <sz val="8"/>
      <color rgb="FFC00000"/>
      <name val="Times New Roman"/>
      <family val="1"/>
    </font>
    <font>
      <b/>
      <sz val="7.5"/>
      <color theme="1"/>
      <name val="Times New Roman"/>
      <family val="1"/>
    </font>
    <font>
      <sz val="8"/>
      <color rgb="FF0070C0"/>
      <name val="Times New Roman"/>
      <family val="1"/>
    </font>
    <font>
      <sz val="7.5"/>
      <color rgb="FFFF0000"/>
      <name val="Times New Roman"/>
      <family val="1"/>
    </font>
    <font>
      <sz val="8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426">
    <xf numFmtId="0" fontId="0" fillId="0" borderId="0" xfId="0" applyAlignment="1">
      <alignment/>
    </xf>
    <xf numFmtId="180" fontId="5" fillId="0" borderId="0" xfId="0" applyNumberFormat="1" applyFont="1" applyAlignment="1">
      <alignment horizontal="center"/>
    </xf>
    <xf numFmtId="180" fontId="6" fillId="0" borderId="0" xfId="0" applyNumberFormat="1" applyFont="1" applyAlignment="1">
      <alignment horizontal="center"/>
    </xf>
    <xf numFmtId="180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180" fontId="9" fillId="0" borderId="11" xfId="0" applyNumberFormat="1" applyFont="1" applyBorder="1" applyAlignment="1">
      <alignment horizontal="right"/>
    </xf>
    <xf numFmtId="180" fontId="9" fillId="0" borderId="11" xfId="0" applyNumberFormat="1" applyFont="1" applyBorder="1" applyAlignment="1">
      <alignment/>
    </xf>
    <xf numFmtId="182" fontId="9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0" fontId="9" fillId="0" borderId="12" xfId="0" applyFont="1" applyBorder="1" applyAlignment="1">
      <alignment/>
    </xf>
    <xf numFmtId="180" fontId="9" fillId="0" borderId="12" xfId="0" applyNumberFormat="1" applyFont="1" applyBorder="1" applyAlignment="1">
      <alignment horizontal="right"/>
    </xf>
    <xf numFmtId="180" fontId="9" fillId="0" borderId="12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80" fontId="11" fillId="0" borderId="12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0" fontId="12" fillId="0" borderId="12" xfId="0" applyFont="1" applyBorder="1" applyAlignment="1">
      <alignment horizontal="left"/>
    </xf>
    <xf numFmtId="180" fontId="12" fillId="0" borderId="12" xfId="0" applyNumberFormat="1" applyFont="1" applyBorder="1" applyAlignment="1">
      <alignment/>
    </xf>
    <xf numFmtId="178" fontId="12" fillId="0" borderId="12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0" fontId="10" fillId="0" borderId="12" xfId="0" applyFont="1" applyBorder="1" applyAlignment="1">
      <alignment horizontal="left"/>
    </xf>
    <xf numFmtId="180" fontId="10" fillId="0" borderId="12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0" fontId="10" fillId="0" borderId="12" xfId="0" applyFont="1" applyBorder="1" applyAlignment="1">
      <alignment horizontal="center"/>
    </xf>
    <xf numFmtId="180" fontId="10" fillId="0" borderId="12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/>
    </xf>
    <xf numFmtId="180" fontId="10" fillId="0" borderId="13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0" fontId="10" fillId="0" borderId="12" xfId="0" applyFont="1" applyBorder="1" applyAlignment="1">
      <alignment/>
    </xf>
    <xf numFmtId="180" fontId="13" fillId="0" borderId="12" xfId="0" applyNumberFormat="1" applyFont="1" applyBorder="1" applyAlignment="1">
      <alignment/>
    </xf>
    <xf numFmtId="178" fontId="11" fillId="0" borderId="12" xfId="0" applyNumberFormat="1" applyFont="1" applyBorder="1" applyAlignment="1">
      <alignment/>
    </xf>
    <xf numFmtId="180" fontId="5" fillId="0" borderId="14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178" fontId="14" fillId="0" borderId="12" xfId="57" applyNumberFormat="1" applyFont="1" applyFill="1" applyBorder="1">
      <alignment/>
      <protection/>
    </xf>
    <xf numFmtId="178" fontId="14" fillId="32" borderId="12" xfId="0" applyNumberFormat="1" applyFont="1" applyFill="1" applyBorder="1" applyAlignment="1">
      <alignment/>
    </xf>
    <xf numFmtId="180" fontId="14" fillId="0" borderId="12" xfId="57" applyNumberFormat="1" applyFont="1" applyFill="1" applyBorder="1">
      <alignment/>
      <protection/>
    </xf>
    <xf numFmtId="180" fontId="2" fillId="0" borderId="12" xfId="57" applyNumberFormat="1" applyFont="1" applyFill="1" applyBorder="1">
      <alignment/>
      <protection/>
    </xf>
    <xf numFmtId="0" fontId="9" fillId="0" borderId="11" xfId="0" applyFont="1" applyBorder="1" applyAlignment="1">
      <alignment horizontal="center"/>
    </xf>
    <xf numFmtId="178" fontId="15" fillId="0" borderId="11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178" fontId="14" fillId="0" borderId="12" xfId="0" applyNumberFormat="1" applyFont="1" applyBorder="1" applyAlignment="1">
      <alignment/>
    </xf>
    <xf numFmtId="178" fontId="10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11" fillId="0" borderId="12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178" fontId="16" fillId="0" borderId="12" xfId="0" applyNumberFormat="1" applyFont="1" applyBorder="1" applyAlignment="1">
      <alignment/>
    </xf>
    <xf numFmtId="180" fontId="16" fillId="0" borderId="12" xfId="0" applyNumberFormat="1" applyFont="1" applyBorder="1" applyAlignment="1">
      <alignment/>
    </xf>
    <xf numFmtId="4" fontId="16" fillId="0" borderId="12" xfId="0" applyNumberFormat="1" applyFont="1" applyBorder="1" applyAlignment="1">
      <alignment/>
    </xf>
    <xf numFmtId="180" fontId="12" fillId="0" borderId="12" xfId="0" applyNumberFormat="1" applyFont="1" applyBorder="1" applyAlignment="1">
      <alignment horizontal="left"/>
    </xf>
    <xf numFmtId="0" fontId="16" fillId="0" borderId="12" xfId="0" applyFont="1" applyBorder="1" applyAlignment="1">
      <alignment/>
    </xf>
    <xf numFmtId="178" fontId="9" fillId="0" borderId="12" xfId="0" applyNumberFormat="1" applyFont="1" applyBorder="1" applyAlignment="1">
      <alignment/>
    </xf>
    <xf numFmtId="178" fontId="11" fillId="0" borderId="12" xfId="0" applyNumberFormat="1" applyFont="1" applyBorder="1" applyAlignment="1">
      <alignment horizontal="right"/>
    </xf>
    <xf numFmtId="178" fontId="12" fillId="0" borderId="12" xfId="0" applyNumberFormat="1" applyFont="1" applyBorder="1" applyAlignment="1">
      <alignment horizontal="right"/>
    </xf>
    <xf numFmtId="178" fontId="10" fillId="0" borderId="12" xfId="0" applyNumberFormat="1" applyFont="1" applyBorder="1" applyAlignment="1">
      <alignment horizontal="right"/>
    </xf>
    <xf numFmtId="178" fontId="10" fillId="0" borderId="13" xfId="0" applyNumberFormat="1" applyFont="1" applyBorder="1" applyAlignment="1">
      <alignment horizontal="right"/>
    </xf>
    <xf numFmtId="180" fontId="2" fillId="0" borderId="12" xfId="57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180" fontId="15" fillId="0" borderId="10" xfId="0" applyNumberFormat="1" applyFont="1" applyBorder="1" applyAlignment="1">
      <alignment horizontal="center" vertical="center"/>
    </xf>
    <xf numFmtId="180" fontId="15" fillId="0" borderId="10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/>
    </xf>
    <xf numFmtId="180" fontId="15" fillId="0" borderId="11" xfId="0" applyNumberFormat="1" applyFont="1" applyBorder="1" applyAlignment="1">
      <alignment horizontal="right"/>
    </xf>
    <xf numFmtId="180" fontId="15" fillId="0" borderId="11" xfId="0" applyNumberFormat="1" applyFont="1" applyBorder="1" applyAlignment="1">
      <alignment/>
    </xf>
    <xf numFmtId="0" fontId="15" fillId="0" borderId="12" xfId="0" applyFont="1" applyBorder="1" applyAlignment="1">
      <alignment/>
    </xf>
    <xf numFmtId="180" fontId="15" fillId="0" borderId="12" xfId="0" applyNumberFormat="1" applyFont="1" applyBorder="1" applyAlignment="1">
      <alignment horizontal="right"/>
    </xf>
    <xf numFmtId="180" fontId="15" fillId="0" borderId="12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180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14" fillId="0" borderId="12" xfId="0" applyFont="1" applyBorder="1" applyAlignment="1">
      <alignment horizontal="left"/>
    </xf>
    <xf numFmtId="180" fontId="14" fillId="0" borderId="12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180" fontId="2" fillId="0" borderId="12" xfId="0" applyNumberFormat="1" applyFont="1" applyBorder="1" applyAlignment="1">
      <alignment horizontal="right"/>
    </xf>
    <xf numFmtId="0" fontId="14" fillId="0" borderId="12" xfId="0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178" fontId="10" fillId="32" borderId="12" xfId="0" applyNumberFormat="1" applyFont="1" applyFill="1" applyBorder="1" applyAlignment="1">
      <alignment/>
    </xf>
    <xf numFmtId="178" fontId="0" fillId="0" borderId="0" xfId="0" applyNumberFormat="1" applyFont="1" applyAlignment="1">
      <alignment/>
    </xf>
    <xf numFmtId="178" fontId="10" fillId="32" borderId="13" xfId="0" applyNumberFormat="1" applyFont="1" applyFill="1" applyBorder="1" applyAlignment="1">
      <alignment/>
    </xf>
    <xf numFmtId="171" fontId="2" fillId="0" borderId="0" xfId="0" applyNumberFormat="1" applyFont="1" applyAlignment="1">
      <alignment/>
    </xf>
    <xf numFmtId="43" fontId="15" fillId="0" borderId="15" xfId="42" applyFont="1" applyBorder="1" applyAlignment="1">
      <alignment/>
    </xf>
    <xf numFmtId="43" fontId="2" fillId="0" borderId="15" xfId="42" applyFont="1" applyBorder="1" applyAlignment="1">
      <alignment/>
    </xf>
    <xf numFmtId="178" fontId="2" fillId="0" borderId="15" xfId="0" applyNumberFormat="1" applyFont="1" applyBorder="1" applyAlignment="1">
      <alignment horizontal="right"/>
    </xf>
    <xf numFmtId="171" fontId="9" fillId="0" borderId="12" xfId="0" applyNumberFormat="1" applyFont="1" applyBorder="1" applyAlignment="1">
      <alignment/>
    </xf>
    <xf numFmtId="171" fontId="9" fillId="0" borderId="11" xfId="0" applyNumberFormat="1" applyFont="1" applyBorder="1" applyAlignment="1">
      <alignment/>
    </xf>
    <xf numFmtId="171" fontId="0" fillId="0" borderId="10" xfId="0" applyNumberFormat="1" applyBorder="1" applyAlignment="1">
      <alignment/>
    </xf>
    <xf numFmtId="180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10" fillId="0" borderId="12" xfId="0" applyNumberFormat="1" applyFont="1" applyBorder="1" applyAlignment="1">
      <alignment/>
    </xf>
    <xf numFmtId="180" fontId="10" fillId="0" borderId="12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0" fontId="10" fillId="0" borderId="12" xfId="0" applyFont="1" applyBorder="1" applyAlignment="1">
      <alignment horizontal="left"/>
    </xf>
    <xf numFmtId="180" fontId="10" fillId="0" borderId="12" xfId="0" applyNumberFormat="1" applyFont="1" applyBorder="1" applyAlignment="1">
      <alignment horizontal="right"/>
    </xf>
    <xf numFmtId="0" fontId="10" fillId="0" borderId="13" xfId="0" applyFont="1" applyBorder="1" applyAlignment="1">
      <alignment horizontal="center"/>
    </xf>
    <xf numFmtId="180" fontId="10" fillId="0" borderId="13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178" fontId="10" fillId="32" borderId="12" xfId="0" applyNumberFormat="1" applyFont="1" applyFill="1" applyBorder="1" applyAlignment="1">
      <alignment/>
    </xf>
    <xf numFmtId="0" fontId="10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178" fontId="2" fillId="0" borderId="12" xfId="0" applyNumberFormat="1" applyFont="1" applyBorder="1" applyAlignment="1">
      <alignment/>
    </xf>
    <xf numFmtId="180" fontId="10" fillId="0" borderId="12" xfId="57" applyNumberFormat="1" applyFont="1" applyBorder="1">
      <alignment/>
      <protection/>
    </xf>
    <xf numFmtId="0" fontId="2" fillId="0" borderId="13" xfId="0" applyFont="1" applyBorder="1" applyAlignment="1">
      <alignment horizontal="center"/>
    </xf>
    <xf numFmtId="43" fontId="2" fillId="0" borderId="15" xfId="42" applyFont="1" applyBorder="1" applyAlignment="1">
      <alignment/>
    </xf>
    <xf numFmtId="178" fontId="10" fillId="0" borderId="12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8" fontId="11" fillId="0" borderId="0" xfId="0" applyNumberFormat="1" applyFont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0" xfId="0" applyFont="1" applyAlignment="1">
      <alignment/>
    </xf>
    <xf numFmtId="178" fontId="16" fillId="0" borderId="0" xfId="0" applyNumberFormat="1" applyFont="1" applyAlignment="1">
      <alignment/>
    </xf>
    <xf numFmtId="0" fontId="17" fillId="0" borderId="0" xfId="0" applyFont="1" applyAlignment="1">
      <alignment/>
    </xf>
    <xf numFmtId="180" fontId="17" fillId="0" borderId="0" xfId="0" applyNumberFormat="1" applyFont="1" applyAlignment="1">
      <alignment/>
    </xf>
    <xf numFmtId="178" fontId="17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10" fillId="0" borderId="12" xfId="55" applyNumberFormat="1" applyFont="1" applyBorder="1">
      <alignment/>
      <protection/>
    </xf>
    <xf numFmtId="0" fontId="1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178" fontId="2" fillId="0" borderId="0" xfId="0" applyNumberFormat="1" applyFont="1" applyAlignment="1">
      <alignment/>
    </xf>
    <xf numFmtId="178" fontId="18" fillId="0" borderId="0" xfId="0" applyNumberFormat="1" applyFont="1" applyAlignment="1">
      <alignment/>
    </xf>
    <xf numFmtId="0" fontId="9" fillId="0" borderId="16" xfId="0" applyFont="1" applyBorder="1" applyAlignment="1">
      <alignment horizontal="center" vertical="center" wrapText="1"/>
    </xf>
    <xf numFmtId="178" fontId="12" fillId="32" borderId="12" xfId="57" applyNumberFormat="1" applyFont="1" applyFill="1" applyBorder="1">
      <alignment/>
      <protection/>
    </xf>
    <xf numFmtId="0" fontId="12" fillId="0" borderId="12" xfId="0" applyFont="1" applyBorder="1" applyAlignment="1">
      <alignment/>
    </xf>
    <xf numFmtId="178" fontId="12" fillId="32" borderId="12" xfId="0" applyNumberFormat="1" applyFont="1" applyFill="1" applyBorder="1" applyAlignment="1">
      <alignment/>
    </xf>
    <xf numFmtId="180" fontId="5" fillId="0" borderId="14" xfId="0" applyNumberFormat="1" applyFont="1" applyBorder="1" applyAlignment="1">
      <alignment/>
    </xf>
    <xf numFmtId="178" fontId="12" fillId="0" borderId="12" xfId="57" applyNumberFormat="1" applyFont="1" applyBorder="1">
      <alignment/>
      <protection/>
    </xf>
    <xf numFmtId="178" fontId="16" fillId="0" borderId="12" xfId="57" applyNumberFormat="1" applyFont="1" applyBorder="1">
      <alignment/>
      <protection/>
    </xf>
    <xf numFmtId="0" fontId="16" fillId="0" borderId="0" xfId="0" applyFont="1" applyAlignment="1">
      <alignment horizontal="left"/>
    </xf>
    <xf numFmtId="0" fontId="11" fillId="0" borderId="0" xfId="0" applyFont="1" applyAlignment="1">
      <alignment/>
    </xf>
    <xf numFmtId="178" fontId="11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178" fontId="1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178" fontId="9" fillId="0" borderId="0" xfId="0" applyNumberFormat="1" applyFont="1" applyAlignment="1">
      <alignment/>
    </xf>
    <xf numFmtId="181" fontId="16" fillId="0" borderId="0" xfId="0" applyNumberFormat="1" applyFont="1" applyAlignment="1">
      <alignment/>
    </xf>
    <xf numFmtId="181" fontId="11" fillId="0" borderId="0" xfId="0" applyNumberFormat="1" applyFont="1" applyAlignment="1">
      <alignment/>
    </xf>
    <xf numFmtId="181" fontId="9" fillId="0" borderId="0" xfId="0" applyNumberFormat="1" applyFont="1" applyAlignment="1">
      <alignment/>
    </xf>
    <xf numFmtId="179" fontId="16" fillId="0" borderId="0" xfId="0" applyNumberFormat="1" applyFont="1" applyAlignment="1">
      <alignment/>
    </xf>
    <xf numFmtId="179" fontId="11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181" fontId="10" fillId="0" borderId="0" xfId="0" applyNumberFormat="1" applyFont="1" applyAlignment="1">
      <alignment/>
    </xf>
    <xf numFmtId="179" fontId="10" fillId="0" borderId="0" xfId="0" applyNumberFormat="1" applyFont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178" fontId="9" fillId="0" borderId="11" xfId="0" applyNumberFormat="1" applyFont="1" applyBorder="1" applyAlignment="1">
      <alignment/>
    </xf>
    <xf numFmtId="179" fontId="9" fillId="0" borderId="11" xfId="0" applyNumberFormat="1" applyFont="1" applyBorder="1" applyAlignment="1">
      <alignment/>
    </xf>
    <xf numFmtId="0" fontId="9" fillId="0" borderId="12" xfId="0" applyFont="1" applyBorder="1" applyAlignment="1">
      <alignment/>
    </xf>
    <xf numFmtId="179" fontId="9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179" fontId="10" fillId="0" borderId="12" xfId="0" applyNumberFormat="1" applyFont="1" applyBorder="1" applyAlignment="1">
      <alignment/>
    </xf>
    <xf numFmtId="171" fontId="10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179" fontId="12" fillId="0" borderId="12" xfId="0" applyNumberFormat="1" applyFont="1" applyBorder="1" applyAlignment="1">
      <alignment/>
    </xf>
    <xf numFmtId="171" fontId="10" fillId="0" borderId="12" xfId="0" applyNumberFormat="1" applyFont="1" applyBorder="1" applyAlignment="1">
      <alignment/>
    </xf>
    <xf numFmtId="178" fontId="10" fillId="0" borderId="12" xfId="42" applyNumberFormat="1" applyFont="1" applyBorder="1" applyAlignment="1">
      <alignment/>
    </xf>
    <xf numFmtId="178" fontId="10" fillId="0" borderId="12" xfId="57" applyNumberFormat="1" applyFont="1" applyFill="1" applyBorder="1">
      <alignment/>
      <protection/>
    </xf>
    <xf numFmtId="178" fontId="10" fillId="0" borderId="12" xfId="57" applyNumberFormat="1" applyFont="1" applyFill="1" applyBorder="1" applyAlignment="1">
      <alignment horizontal="right"/>
      <protection/>
    </xf>
    <xf numFmtId="178" fontId="12" fillId="0" borderId="12" xfId="42" applyNumberFormat="1" applyFont="1" applyBorder="1" applyAlignment="1">
      <alignment/>
    </xf>
    <xf numFmtId="0" fontId="13" fillId="0" borderId="12" xfId="0" applyFont="1" applyBorder="1" applyAlignment="1">
      <alignment/>
    </xf>
    <xf numFmtId="178" fontId="13" fillId="0" borderId="12" xfId="0" applyNumberFormat="1" applyFont="1" applyBorder="1" applyAlignment="1">
      <alignment/>
    </xf>
    <xf numFmtId="179" fontId="13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178" fontId="10" fillId="0" borderId="12" xfId="42" applyNumberFormat="1" applyFont="1" applyBorder="1" applyAlignment="1">
      <alignment/>
    </xf>
    <xf numFmtId="178" fontId="10" fillId="0" borderId="12" xfId="57" applyNumberFormat="1" applyFont="1" applyFill="1" applyBorder="1">
      <alignment/>
      <protection/>
    </xf>
    <xf numFmtId="179" fontId="10" fillId="0" borderId="12" xfId="0" applyNumberFormat="1" applyFont="1" applyBorder="1" applyAlignment="1">
      <alignment/>
    </xf>
    <xf numFmtId="178" fontId="13" fillId="0" borderId="12" xfId="42" applyNumberFormat="1" applyFont="1" applyBorder="1" applyAlignment="1">
      <alignment/>
    </xf>
    <xf numFmtId="178" fontId="13" fillId="0" borderId="12" xfId="57" applyNumberFormat="1" applyFont="1" applyFill="1" applyBorder="1">
      <alignment/>
      <protection/>
    </xf>
    <xf numFmtId="178" fontId="10" fillId="0" borderId="12" xfId="57" applyNumberFormat="1" applyFont="1" applyBorder="1">
      <alignment/>
      <protection/>
    </xf>
    <xf numFmtId="178" fontId="10" fillId="0" borderId="12" xfId="57" applyNumberFormat="1" applyFont="1" applyFill="1" applyBorder="1" applyAlignment="1">
      <alignment horizontal="right"/>
      <protection/>
    </xf>
    <xf numFmtId="178" fontId="10" fillId="0" borderId="12" xfId="0" applyNumberFormat="1" applyFont="1" applyBorder="1" applyAlignment="1">
      <alignment/>
    </xf>
    <xf numFmtId="178" fontId="10" fillId="32" borderId="12" xfId="57" applyNumberFormat="1" applyFont="1" applyFill="1" applyBorder="1">
      <alignment/>
      <protection/>
    </xf>
    <xf numFmtId="178" fontId="12" fillId="32" borderId="12" xfId="57" applyNumberFormat="1" applyFont="1" applyFill="1" applyBorder="1" applyAlignment="1">
      <alignment/>
      <protection/>
    </xf>
    <xf numFmtId="178" fontId="10" fillId="32" borderId="12" xfId="57" applyNumberFormat="1" applyFont="1" applyFill="1" applyBorder="1" applyAlignment="1">
      <alignment/>
      <protection/>
    </xf>
    <xf numFmtId="0" fontId="10" fillId="0" borderId="12" xfId="0" applyFont="1" applyFill="1" applyBorder="1" applyAlignment="1">
      <alignment/>
    </xf>
    <xf numFmtId="178" fontId="10" fillId="0" borderId="12" xfId="0" applyNumberFormat="1" applyFont="1" applyFill="1" applyBorder="1" applyAlignment="1">
      <alignment/>
    </xf>
    <xf numFmtId="178" fontId="12" fillId="0" borderId="12" xfId="57" applyNumberFormat="1" applyFont="1" applyFill="1" applyBorder="1">
      <alignment/>
      <protection/>
    </xf>
    <xf numFmtId="178" fontId="12" fillId="0" borderId="12" xfId="0" applyNumberFormat="1" applyFont="1" applyBorder="1" applyAlignment="1">
      <alignment/>
    </xf>
    <xf numFmtId="178" fontId="12" fillId="32" borderId="12" xfId="0" applyNumberFormat="1" applyFont="1" applyFill="1" applyBorder="1" applyAlignment="1">
      <alignment/>
    </xf>
    <xf numFmtId="178" fontId="10" fillId="0" borderId="12" xfId="57" applyNumberFormat="1" applyFont="1" applyFill="1" applyBorder="1" applyAlignment="1">
      <alignment/>
      <protection/>
    </xf>
    <xf numFmtId="0" fontId="10" fillId="0" borderId="13" xfId="0" applyFont="1" applyBorder="1" applyAlignment="1">
      <alignment/>
    </xf>
    <xf numFmtId="178" fontId="10" fillId="0" borderId="13" xfId="0" applyNumberFormat="1" applyFont="1" applyBorder="1" applyAlignment="1">
      <alignment/>
    </xf>
    <xf numFmtId="179" fontId="10" fillId="0" borderId="13" xfId="0" applyNumberFormat="1" applyFont="1" applyBorder="1" applyAlignment="1">
      <alignment/>
    </xf>
    <xf numFmtId="171" fontId="10" fillId="0" borderId="13" xfId="0" applyNumberFormat="1" applyFont="1" applyBorder="1" applyAlignment="1">
      <alignment/>
    </xf>
    <xf numFmtId="178" fontId="9" fillId="0" borderId="12" xfId="0" applyNumberFormat="1" applyFont="1" applyBorder="1" applyAlignment="1">
      <alignment horizontal="right"/>
    </xf>
    <xf numFmtId="178" fontId="10" fillId="0" borderId="12" xfId="57" applyNumberFormat="1" applyFont="1" applyBorder="1">
      <alignment/>
      <protection/>
    </xf>
    <xf numFmtId="178" fontId="10" fillId="32" borderId="12" xfId="57" applyNumberFormat="1" applyFont="1" applyFill="1" applyBorder="1">
      <alignment/>
      <protection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178" fontId="19" fillId="0" borderId="12" xfId="57" applyNumberFormat="1" applyFont="1" applyFill="1" applyBorder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/>
    </xf>
    <xf numFmtId="178" fontId="12" fillId="0" borderId="12" xfId="0" applyNumberFormat="1" applyFont="1" applyBorder="1" applyAlignment="1">
      <alignment horizontal="right" vertical="center"/>
    </xf>
    <xf numFmtId="178" fontId="10" fillId="0" borderId="12" xfId="0" applyNumberFormat="1" applyFont="1" applyBorder="1" applyAlignment="1">
      <alignment horizontal="right" vertical="center"/>
    </xf>
    <xf numFmtId="178" fontId="10" fillId="0" borderId="12" xfId="57" applyNumberFormat="1" applyFont="1" applyBorder="1" applyAlignment="1">
      <alignment horizontal="right"/>
      <protection/>
    </xf>
    <xf numFmtId="178" fontId="12" fillId="0" borderId="12" xfId="0" applyNumberFormat="1" applyFont="1" applyBorder="1" applyAlignment="1">
      <alignment vertical="center"/>
    </xf>
    <xf numFmtId="178" fontId="10" fillId="32" borderId="12" xfId="57" applyNumberFormat="1" applyFont="1" applyFill="1" applyBorder="1" applyAlignment="1">
      <alignment/>
      <protection/>
    </xf>
    <xf numFmtId="0" fontId="10" fillId="0" borderId="12" xfId="0" applyFont="1" applyFill="1" applyBorder="1" applyAlignment="1">
      <alignment/>
    </xf>
    <xf numFmtId="178" fontId="10" fillId="0" borderId="12" xfId="0" applyNumberFormat="1" applyFont="1" applyBorder="1" applyAlignment="1">
      <alignment/>
    </xf>
    <xf numFmtId="178" fontId="10" fillId="0" borderId="12" xfId="57" applyNumberFormat="1" applyFont="1" applyFill="1" applyBorder="1" applyAlignment="1">
      <alignment/>
      <protection/>
    </xf>
    <xf numFmtId="178" fontId="2" fillId="0" borderId="12" xfId="0" applyNumberFormat="1" applyFont="1" applyBorder="1" applyAlignment="1">
      <alignment/>
    </xf>
    <xf numFmtId="180" fontId="11" fillId="0" borderId="12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 horizontal="left"/>
    </xf>
    <xf numFmtId="178" fontId="11" fillId="0" borderId="12" xfId="0" applyNumberFormat="1" applyFont="1" applyBorder="1" applyAlignment="1">
      <alignment/>
    </xf>
    <xf numFmtId="180" fontId="10" fillId="0" borderId="12" xfId="0" applyNumberFormat="1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178" fontId="2" fillId="0" borderId="13" xfId="0" applyNumberFormat="1" applyFont="1" applyBorder="1" applyAlignment="1">
      <alignment/>
    </xf>
    <xf numFmtId="178" fontId="2" fillId="0" borderId="12" xfId="0" applyNumberFormat="1" applyFont="1" applyBorder="1" applyAlignment="1">
      <alignment horizontal="right"/>
    </xf>
    <xf numFmtId="3" fontId="12" fillId="0" borderId="12" xfId="0" applyNumberFormat="1" applyFont="1" applyBorder="1" applyAlignment="1">
      <alignment horizontal="left"/>
    </xf>
    <xf numFmtId="3" fontId="10" fillId="0" borderId="12" xfId="0" applyNumberFormat="1" applyFont="1" applyBorder="1" applyAlignment="1">
      <alignment horizontal="left"/>
    </xf>
    <xf numFmtId="178" fontId="10" fillId="0" borderId="12" xfId="0" applyNumberFormat="1" applyFont="1" applyFill="1" applyBorder="1" applyAlignment="1">
      <alignment/>
    </xf>
    <xf numFmtId="180" fontId="5" fillId="0" borderId="14" xfId="0" applyNumberFormat="1" applyFont="1" applyBorder="1" applyAlignment="1">
      <alignment horizontal="center"/>
    </xf>
    <xf numFmtId="179" fontId="10" fillId="0" borderId="12" xfId="57" applyNumberFormat="1" applyFont="1" applyFill="1" applyBorder="1">
      <alignment/>
      <protection/>
    </xf>
    <xf numFmtId="178" fontId="12" fillId="0" borderId="12" xfId="0" applyNumberFormat="1" applyFont="1" applyFill="1" applyBorder="1" applyAlignment="1">
      <alignment/>
    </xf>
    <xf numFmtId="3" fontId="10" fillId="0" borderId="12" xfId="57" applyNumberFormat="1" applyFont="1" applyBorder="1">
      <alignment/>
      <protection/>
    </xf>
    <xf numFmtId="180" fontId="6" fillId="0" borderId="14" xfId="0" applyNumberFormat="1" applyFont="1" applyBorder="1" applyAlignment="1">
      <alignment horizontal="center"/>
    </xf>
    <xf numFmtId="178" fontId="10" fillId="0" borderId="14" xfId="57" applyNumberFormat="1" applyFont="1" applyBorder="1">
      <alignment/>
      <protection/>
    </xf>
    <xf numFmtId="3" fontId="8" fillId="0" borderId="14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180" fontId="2" fillId="0" borderId="13" xfId="0" applyNumberFormat="1" applyFont="1" applyBorder="1" applyAlignment="1">
      <alignment/>
    </xf>
    <xf numFmtId="180" fontId="2" fillId="0" borderId="12" xfId="57" applyNumberFormat="1" applyFont="1" applyBorder="1">
      <alignment/>
      <protection/>
    </xf>
    <xf numFmtId="180" fontId="0" fillId="0" borderId="0" xfId="0" applyNumberFormat="1" applyFont="1" applyAlignment="1">
      <alignment/>
    </xf>
    <xf numFmtId="0" fontId="70" fillId="0" borderId="10" xfId="0" applyFont="1" applyBorder="1" applyAlignment="1">
      <alignment horizontal="center" vertical="center" wrapText="1"/>
    </xf>
    <xf numFmtId="178" fontId="71" fillId="0" borderId="12" xfId="0" applyNumberFormat="1" applyFont="1" applyBorder="1" applyAlignment="1">
      <alignment/>
    </xf>
    <xf numFmtId="0" fontId="70" fillId="0" borderId="16" xfId="0" applyFont="1" applyBorder="1" applyAlignment="1">
      <alignment horizontal="center" vertical="center" wrapText="1"/>
    </xf>
    <xf numFmtId="178" fontId="72" fillId="0" borderId="12" xfId="0" applyNumberFormat="1" applyFont="1" applyBorder="1" applyAlignment="1">
      <alignment/>
    </xf>
    <xf numFmtId="178" fontId="72" fillId="0" borderId="12" xfId="0" applyNumberFormat="1" applyFont="1" applyBorder="1" applyAlignment="1">
      <alignment horizontal="right"/>
    </xf>
    <xf numFmtId="178" fontId="72" fillId="32" borderId="12" xfId="0" applyNumberFormat="1" applyFont="1" applyFill="1" applyBorder="1" applyAlignment="1">
      <alignment/>
    </xf>
    <xf numFmtId="0" fontId="70" fillId="0" borderId="10" xfId="0" applyFont="1" applyBorder="1" applyAlignment="1">
      <alignment horizontal="center" vertical="center"/>
    </xf>
    <xf numFmtId="178" fontId="72" fillId="32" borderId="12" xfId="57" applyNumberFormat="1" applyFont="1" applyFill="1" applyBorder="1">
      <alignment/>
      <protection/>
    </xf>
    <xf numFmtId="178" fontId="70" fillId="0" borderId="11" xfId="0" applyNumberFormat="1" applyFont="1" applyBorder="1" applyAlignment="1">
      <alignment/>
    </xf>
    <xf numFmtId="178" fontId="73" fillId="32" borderId="12" xfId="57" applyNumberFormat="1" applyFont="1" applyFill="1" applyBorder="1">
      <alignment/>
      <protection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32" borderId="16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32" borderId="16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/>
    </xf>
    <xf numFmtId="178" fontId="22" fillId="0" borderId="12" xfId="0" applyNumberFormat="1" applyFont="1" applyBorder="1" applyAlignment="1">
      <alignment/>
    </xf>
    <xf numFmtId="178" fontId="22" fillId="32" borderId="12" xfId="0" applyNumberFormat="1" applyFont="1" applyFill="1" applyBorder="1" applyAlignment="1">
      <alignment/>
    </xf>
    <xf numFmtId="179" fontId="22" fillId="0" borderId="12" xfId="0" applyNumberFormat="1" applyFont="1" applyBorder="1" applyAlignment="1">
      <alignment/>
    </xf>
    <xf numFmtId="0" fontId="24" fillId="0" borderId="12" xfId="0" applyFont="1" applyBorder="1" applyAlignment="1">
      <alignment/>
    </xf>
    <xf numFmtId="178" fontId="24" fillId="0" borderId="12" xfId="0" applyNumberFormat="1" applyFont="1" applyBorder="1" applyAlignment="1">
      <alignment/>
    </xf>
    <xf numFmtId="178" fontId="24" fillId="32" borderId="12" xfId="0" applyNumberFormat="1" applyFont="1" applyFill="1" applyBorder="1" applyAlignment="1">
      <alignment/>
    </xf>
    <xf numFmtId="179" fontId="24" fillId="0" borderId="12" xfId="0" applyNumberFormat="1" applyFont="1" applyBorder="1" applyAlignment="1">
      <alignment/>
    </xf>
    <xf numFmtId="171" fontId="24" fillId="0" borderId="12" xfId="0" applyNumberFormat="1" applyFont="1" applyBorder="1" applyAlignment="1">
      <alignment/>
    </xf>
    <xf numFmtId="178" fontId="23" fillId="0" borderId="12" xfId="0" applyNumberFormat="1" applyFont="1" applyBorder="1" applyAlignment="1">
      <alignment/>
    </xf>
    <xf numFmtId="0" fontId="25" fillId="0" borderId="12" xfId="0" applyFont="1" applyBorder="1" applyAlignment="1">
      <alignment/>
    </xf>
    <xf numFmtId="178" fontId="25" fillId="0" borderId="12" xfId="0" applyNumberFormat="1" applyFont="1" applyBorder="1" applyAlignment="1">
      <alignment/>
    </xf>
    <xf numFmtId="178" fontId="26" fillId="0" borderId="12" xfId="0" applyNumberFormat="1" applyFont="1" applyBorder="1" applyAlignment="1">
      <alignment/>
    </xf>
    <xf numFmtId="178" fontId="25" fillId="32" borderId="12" xfId="0" applyNumberFormat="1" applyFont="1" applyFill="1" applyBorder="1" applyAlignment="1">
      <alignment/>
    </xf>
    <xf numFmtId="179" fontId="25" fillId="0" borderId="12" xfId="0" applyNumberFormat="1" applyFont="1" applyBorder="1" applyAlignment="1">
      <alignment/>
    </xf>
    <xf numFmtId="178" fontId="24" fillId="32" borderId="12" xfId="57" applyNumberFormat="1" applyFont="1" applyFill="1" applyBorder="1">
      <alignment/>
      <protection/>
    </xf>
    <xf numFmtId="178" fontId="24" fillId="0" borderId="12" xfId="57" applyNumberFormat="1" applyFont="1" applyFill="1" applyBorder="1">
      <alignment/>
      <protection/>
    </xf>
    <xf numFmtId="178" fontId="24" fillId="32" borderId="12" xfId="57" applyNumberFormat="1" applyFont="1" applyFill="1" applyBorder="1" applyAlignment="1">
      <alignment horizontal="right"/>
      <protection/>
    </xf>
    <xf numFmtId="178" fontId="27" fillId="0" borderId="12" xfId="0" applyNumberFormat="1" applyFont="1" applyBorder="1" applyAlignment="1">
      <alignment/>
    </xf>
    <xf numFmtId="178" fontId="28" fillId="0" borderId="12" xfId="0" applyNumberFormat="1" applyFont="1" applyBorder="1" applyAlignment="1">
      <alignment/>
    </xf>
    <xf numFmtId="179" fontId="24" fillId="32" borderId="12" xfId="57" applyNumberFormat="1" applyFont="1" applyFill="1" applyBorder="1">
      <alignment/>
      <protection/>
    </xf>
    <xf numFmtId="178" fontId="26" fillId="32" borderId="12" xfId="0" applyNumberFormat="1" applyFont="1" applyFill="1" applyBorder="1" applyAlignment="1">
      <alignment/>
    </xf>
    <xf numFmtId="178" fontId="25" fillId="32" borderId="12" xfId="57" applyNumberFormat="1" applyFont="1" applyFill="1" applyBorder="1">
      <alignment/>
      <protection/>
    </xf>
    <xf numFmtId="179" fontId="25" fillId="32" borderId="12" xfId="0" applyNumberFormat="1" applyFont="1" applyFill="1" applyBorder="1" applyAlignment="1">
      <alignment/>
    </xf>
    <xf numFmtId="178" fontId="27" fillId="32" borderId="12" xfId="0" applyNumberFormat="1" applyFont="1" applyFill="1" applyBorder="1" applyAlignment="1">
      <alignment/>
    </xf>
    <xf numFmtId="178" fontId="29" fillId="32" borderId="12" xfId="57" applyNumberFormat="1" applyFont="1" applyFill="1" applyBorder="1">
      <alignment/>
      <protection/>
    </xf>
    <xf numFmtId="179" fontId="24" fillId="32" borderId="12" xfId="0" applyNumberFormat="1" applyFont="1" applyFill="1" applyBorder="1" applyAlignment="1">
      <alignment/>
    </xf>
    <xf numFmtId="178" fontId="25" fillId="0" borderId="12" xfId="57" applyNumberFormat="1" applyFont="1" applyBorder="1">
      <alignment/>
      <protection/>
    </xf>
    <xf numFmtId="178" fontId="26" fillId="0" borderId="12" xfId="57" applyNumberFormat="1" applyFont="1" applyBorder="1">
      <alignment/>
      <protection/>
    </xf>
    <xf numFmtId="178" fontId="29" fillId="0" borderId="12" xfId="0" applyNumberFormat="1" applyFont="1" applyBorder="1" applyAlignment="1">
      <alignment/>
    </xf>
    <xf numFmtId="178" fontId="29" fillId="0" borderId="12" xfId="57" applyNumberFormat="1" applyFont="1" applyFill="1" applyBorder="1">
      <alignment/>
      <protection/>
    </xf>
    <xf numFmtId="178" fontId="24" fillId="0" borderId="12" xfId="57" applyNumberFormat="1" applyFont="1" applyBorder="1">
      <alignment/>
      <protection/>
    </xf>
    <xf numFmtId="178" fontId="24" fillId="0" borderId="12" xfId="0" applyNumberFormat="1" applyFont="1" applyBorder="1" applyAlignment="1">
      <alignment horizontal="right"/>
    </xf>
    <xf numFmtId="178" fontId="25" fillId="0" borderId="12" xfId="0" applyNumberFormat="1" applyFont="1" applyBorder="1" applyAlignment="1">
      <alignment horizontal="right"/>
    </xf>
    <xf numFmtId="178" fontId="22" fillId="0" borderId="12" xfId="0" applyNumberFormat="1" applyFont="1" applyBorder="1" applyAlignment="1">
      <alignment horizontal="right"/>
    </xf>
    <xf numFmtId="0" fontId="24" fillId="0" borderId="12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180" fontId="22" fillId="0" borderId="12" xfId="0" applyNumberFormat="1" applyFont="1" applyBorder="1" applyAlignment="1">
      <alignment/>
    </xf>
    <xf numFmtId="178" fontId="28" fillId="32" borderId="12" xfId="0" applyNumberFormat="1" applyFont="1" applyFill="1" applyBorder="1" applyAlignment="1">
      <alignment/>
    </xf>
    <xf numFmtId="178" fontId="30" fillId="32" borderId="12" xfId="0" applyNumberFormat="1" applyFont="1" applyFill="1" applyBorder="1" applyAlignment="1">
      <alignment/>
    </xf>
    <xf numFmtId="178" fontId="30" fillId="0" borderId="12" xfId="0" applyNumberFormat="1" applyFont="1" applyBorder="1" applyAlignment="1">
      <alignment/>
    </xf>
    <xf numFmtId="178" fontId="25" fillId="32" borderId="12" xfId="57" applyNumberFormat="1" applyFont="1" applyFill="1" applyBorder="1" applyAlignment="1">
      <alignment/>
      <protection/>
    </xf>
    <xf numFmtId="178" fontId="28" fillId="32" borderId="12" xfId="57" applyNumberFormat="1" applyFont="1" applyFill="1" applyBorder="1" applyAlignment="1">
      <alignment/>
      <protection/>
    </xf>
    <xf numFmtId="178" fontId="29" fillId="32" borderId="12" xfId="0" applyNumberFormat="1" applyFont="1" applyFill="1" applyBorder="1" applyAlignment="1">
      <alignment/>
    </xf>
    <xf numFmtId="178" fontId="24" fillId="32" borderId="12" xfId="57" applyNumberFormat="1" applyFont="1" applyFill="1" applyBorder="1" applyAlignment="1">
      <alignment/>
      <protection/>
    </xf>
    <xf numFmtId="178" fontId="29" fillId="32" borderId="12" xfId="57" applyNumberFormat="1" applyFont="1" applyFill="1" applyBorder="1" applyAlignment="1">
      <alignment/>
      <protection/>
    </xf>
    <xf numFmtId="0" fontId="24" fillId="0" borderId="12" xfId="0" applyFont="1" applyFill="1" applyBorder="1" applyAlignment="1">
      <alignment/>
    </xf>
    <xf numFmtId="178" fontId="24" fillId="0" borderId="12" xfId="0" applyNumberFormat="1" applyFont="1" applyBorder="1" applyAlignment="1">
      <alignment/>
    </xf>
    <xf numFmtId="178" fontId="24" fillId="0" borderId="12" xfId="0" applyNumberFormat="1" applyFont="1" applyFill="1" applyBorder="1" applyAlignment="1">
      <alignment/>
    </xf>
    <xf numFmtId="171" fontId="25" fillId="0" borderId="12" xfId="0" applyNumberFormat="1" applyFont="1" applyBorder="1" applyAlignment="1">
      <alignment/>
    </xf>
    <xf numFmtId="178" fontId="27" fillId="0" borderId="12" xfId="57" applyNumberFormat="1" applyFont="1" applyBorder="1">
      <alignment/>
      <protection/>
    </xf>
    <xf numFmtId="178" fontId="25" fillId="0" borderId="12" xfId="57" applyNumberFormat="1" applyFont="1" applyFill="1" applyBorder="1">
      <alignment/>
      <protection/>
    </xf>
    <xf numFmtId="178" fontId="26" fillId="0" borderId="12" xfId="57" applyNumberFormat="1" applyFont="1" applyFill="1" applyBorder="1">
      <alignment/>
      <protection/>
    </xf>
    <xf numFmtId="178" fontId="27" fillId="0" borderId="12" xfId="57" applyNumberFormat="1" applyFont="1" applyFill="1" applyBorder="1">
      <alignment/>
      <protection/>
    </xf>
    <xf numFmtId="178" fontId="25" fillId="0" borderId="12" xfId="0" applyNumberFormat="1" applyFont="1" applyBorder="1" applyAlignment="1">
      <alignment/>
    </xf>
    <xf numFmtId="0" fontId="25" fillId="0" borderId="12" xfId="0" applyFont="1" applyBorder="1" applyAlignment="1">
      <alignment horizontal="left"/>
    </xf>
    <xf numFmtId="178" fontId="25" fillId="32" borderId="12" xfId="0" applyNumberFormat="1" applyFont="1" applyFill="1" applyBorder="1" applyAlignment="1">
      <alignment/>
    </xf>
    <xf numFmtId="180" fontId="25" fillId="0" borderId="12" xfId="57" applyNumberFormat="1" applyFont="1" applyBorder="1">
      <alignment/>
      <protection/>
    </xf>
    <xf numFmtId="180" fontId="25" fillId="32" borderId="12" xfId="57" applyNumberFormat="1" applyFont="1" applyFill="1" applyBorder="1">
      <alignment/>
      <protection/>
    </xf>
    <xf numFmtId="180" fontId="26" fillId="0" borderId="12" xfId="57" applyNumberFormat="1" applyFont="1" applyBorder="1">
      <alignment/>
      <protection/>
    </xf>
    <xf numFmtId="178" fontId="24" fillId="0" borderId="12" xfId="57" applyNumberFormat="1" applyFont="1" applyFill="1" applyBorder="1" applyAlignment="1">
      <alignment/>
      <protection/>
    </xf>
    <xf numFmtId="180" fontId="24" fillId="0" borderId="12" xfId="57" applyNumberFormat="1" applyFont="1" applyBorder="1">
      <alignment/>
      <protection/>
    </xf>
    <xf numFmtId="180" fontId="24" fillId="32" borderId="12" xfId="57" applyNumberFormat="1" applyFont="1" applyFill="1" applyBorder="1">
      <alignment/>
      <protection/>
    </xf>
    <xf numFmtId="180" fontId="27" fillId="0" borderId="12" xfId="57" applyNumberFormat="1" applyFont="1" applyBorder="1">
      <alignment/>
      <protection/>
    </xf>
    <xf numFmtId="3" fontId="24" fillId="0" borderId="12" xfId="57" applyNumberFormat="1" applyFont="1" applyBorder="1">
      <alignment/>
      <protection/>
    </xf>
    <xf numFmtId="0" fontId="25" fillId="32" borderId="12" xfId="0" applyFont="1" applyFill="1" applyBorder="1" applyAlignment="1">
      <alignment horizontal="left"/>
    </xf>
    <xf numFmtId="0" fontId="24" fillId="32" borderId="12" xfId="0" applyFont="1" applyFill="1" applyBorder="1" applyAlignment="1">
      <alignment horizontal="left"/>
    </xf>
    <xf numFmtId="0" fontId="24" fillId="0" borderId="12" xfId="57" applyFont="1" applyBorder="1">
      <alignment/>
      <protection/>
    </xf>
    <xf numFmtId="0" fontId="24" fillId="0" borderId="13" xfId="0" applyFont="1" applyBorder="1" applyAlignment="1">
      <alignment/>
    </xf>
    <xf numFmtId="178" fontId="24" fillId="0" borderId="13" xfId="0" applyNumberFormat="1" applyFont="1" applyBorder="1" applyAlignment="1">
      <alignment/>
    </xf>
    <xf numFmtId="178" fontId="24" fillId="32" borderId="13" xfId="0" applyNumberFormat="1" applyFont="1" applyFill="1" applyBorder="1" applyAlignment="1">
      <alignment/>
    </xf>
    <xf numFmtId="179" fontId="24" fillId="0" borderId="13" xfId="0" applyNumberFormat="1" applyFont="1" applyBorder="1" applyAlignment="1">
      <alignment/>
    </xf>
    <xf numFmtId="189" fontId="24" fillId="0" borderId="13" xfId="0" applyNumberFormat="1" applyFont="1" applyBorder="1" applyAlignment="1">
      <alignment/>
    </xf>
    <xf numFmtId="0" fontId="71" fillId="0" borderId="0" xfId="0" applyFont="1" applyAlignment="1">
      <alignment/>
    </xf>
    <xf numFmtId="178" fontId="71" fillId="0" borderId="17" xfId="0" applyNumberFormat="1" applyFont="1" applyFill="1" applyBorder="1" applyAlignment="1">
      <alignment/>
    </xf>
    <xf numFmtId="180" fontId="71" fillId="0" borderId="0" xfId="0" applyNumberFormat="1" applyFont="1" applyAlignment="1">
      <alignment/>
    </xf>
    <xf numFmtId="178" fontId="71" fillId="0" borderId="0" xfId="0" applyNumberFormat="1" applyFont="1" applyAlignment="1">
      <alignment/>
    </xf>
    <xf numFmtId="3" fontId="71" fillId="0" borderId="17" xfId="0" applyNumberFormat="1" applyFont="1" applyBorder="1" applyAlignment="1">
      <alignment/>
    </xf>
    <xf numFmtId="0" fontId="71" fillId="0" borderId="17" xfId="0" applyFont="1" applyBorder="1" applyAlignment="1">
      <alignment/>
    </xf>
    <xf numFmtId="0" fontId="71" fillId="0" borderId="0" xfId="0" applyFont="1" applyBorder="1" applyAlignment="1">
      <alignment/>
    </xf>
    <xf numFmtId="178" fontId="71" fillId="0" borderId="0" xfId="0" applyNumberFormat="1" applyFont="1" applyBorder="1" applyAlignment="1">
      <alignment/>
    </xf>
    <xf numFmtId="0" fontId="74" fillId="0" borderId="10" xfId="0" applyFont="1" applyBorder="1" applyAlignment="1">
      <alignment horizontal="center" vertical="center" wrapText="1"/>
    </xf>
    <xf numFmtId="171" fontId="12" fillId="0" borderId="12" xfId="0" applyNumberFormat="1" applyFont="1" applyBorder="1" applyAlignment="1">
      <alignment/>
    </xf>
    <xf numFmtId="171" fontId="13" fillId="0" borderId="12" xfId="0" applyNumberFormat="1" applyFont="1" applyBorder="1" applyAlignment="1">
      <alignment/>
    </xf>
    <xf numFmtId="178" fontId="75" fillId="0" borderId="12" xfId="0" applyNumberFormat="1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81" fontId="15" fillId="0" borderId="10" xfId="0" applyNumberFormat="1" applyFont="1" applyBorder="1" applyAlignment="1">
      <alignment/>
    </xf>
    <xf numFmtId="178" fontId="15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181" fontId="14" fillId="0" borderId="10" xfId="0" applyNumberFormat="1" applyFont="1" applyBorder="1" applyAlignment="1">
      <alignment/>
    </xf>
    <xf numFmtId="178" fontId="14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181" fontId="21" fillId="0" borderId="10" xfId="0" applyNumberFormat="1" applyFont="1" applyBorder="1" applyAlignment="1">
      <alignment/>
    </xf>
    <xf numFmtId="178" fontId="2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86" fontId="2" fillId="0" borderId="10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186" fontId="11" fillId="0" borderId="10" xfId="0" applyNumberFormat="1" applyFont="1" applyBorder="1" applyAlignment="1">
      <alignment vertical="center"/>
    </xf>
    <xf numFmtId="178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/>
    </xf>
    <xf numFmtId="186" fontId="11" fillId="0" borderId="10" xfId="0" applyNumberFormat="1" applyFont="1" applyBorder="1" applyAlignment="1">
      <alignment/>
    </xf>
    <xf numFmtId="178" fontId="11" fillId="0" borderId="10" xfId="0" applyNumberFormat="1" applyFont="1" applyBorder="1" applyAlignment="1">
      <alignment/>
    </xf>
    <xf numFmtId="186" fontId="14" fillId="0" borderId="10" xfId="0" applyNumberFormat="1" applyFont="1" applyBorder="1" applyAlignment="1">
      <alignment/>
    </xf>
    <xf numFmtId="179" fontId="15" fillId="0" borderId="10" xfId="0" applyNumberFormat="1" applyFont="1" applyBorder="1" applyAlignment="1">
      <alignment horizontal="right"/>
    </xf>
    <xf numFmtId="179" fontId="2" fillId="0" borderId="10" xfId="0" applyNumberFormat="1" applyFont="1" applyBorder="1" applyAlignment="1">
      <alignment horizontal="right"/>
    </xf>
    <xf numFmtId="179" fontId="2" fillId="0" borderId="10" xfId="56" applyNumberFormat="1" applyFont="1" applyBorder="1" applyAlignment="1">
      <alignment horizontal="right" wrapText="1"/>
      <protection/>
    </xf>
    <xf numFmtId="179" fontId="14" fillId="0" borderId="10" xfId="0" applyNumberFormat="1" applyFont="1" applyBorder="1" applyAlignment="1">
      <alignment horizontal="right"/>
    </xf>
    <xf numFmtId="179" fontId="21" fillId="0" borderId="10" xfId="0" applyNumberFormat="1" applyFont="1" applyBorder="1" applyAlignment="1">
      <alignment horizontal="right"/>
    </xf>
    <xf numFmtId="179" fontId="15" fillId="0" borderId="10" xfId="56" applyNumberFormat="1" applyFont="1" applyBorder="1" applyAlignment="1">
      <alignment horizontal="right" wrapText="1"/>
      <protection/>
    </xf>
    <xf numFmtId="179" fontId="21" fillId="0" borderId="10" xfId="56" applyNumberFormat="1" applyFont="1" applyBorder="1" applyAlignment="1">
      <alignment horizontal="right" wrapText="1"/>
      <protection/>
    </xf>
    <xf numFmtId="179" fontId="14" fillId="0" borderId="10" xfId="56" applyNumberFormat="1" applyFont="1" applyBorder="1" applyAlignment="1">
      <alignment horizontal="right" wrapText="1"/>
      <protection/>
    </xf>
    <xf numFmtId="179" fontId="74" fillId="0" borderId="10" xfId="0" applyNumberFormat="1" applyFont="1" applyBorder="1" applyAlignment="1">
      <alignment horizontal="right"/>
    </xf>
    <xf numFmtId="179" fontId="76" fillId="0" borderId="10" xfId="0" applyNumberFormat="1" applyFont="1" applyBorder="1" applyAlignment="1">
      <alignment horizontal="right"/>
    </xf>
    <xf numFmtId="179" fontId="77" fillId="0" borderId="10" xfId="0" applyNumberFormat="1" applyFont="1" applyBorder="1" applyAlignment="1">
      <alignment horizontal="right"/>
    </xf>
    <xf numFmtId="179" fontId="71" fillId="0" borderId="10" xfId="0" applyNumberFormat="1" applyFont="1" applyBorder="1" applyAlignment="1">
      <alignment horizontal="right"/>
    </xf>
    <xf numFmtId="178" fontId="78" fillId="0" borderId="12" xfId="0" applyNumberFormat="1" applyFont="1" applyFill="1" applyBorder="1" applyAlignment="1">
      <alignment/>
    </xf>
    <xf numFmtId="178" fontId="2" fillId="0" borderId="12" xfId="57" applyNumberFormat="1" applyFont="1" applyFill="1" applyBorder="1">
      <alignment/>
      <protection/>
    </xf>
    <xf numFmtId="178" fontId="2" fillId="32" borderId="12" xfId="0" applyNumberFormat="1" applyFont="1" applyFill="1" applyBorder="1" applyAlignment="1">
      <alignment/>
    </xf>
    <xf numFmtId="178" fontId="2" fillId="0" borderId="12" xfId="0" applyNumberFormat="1" applyFont="1" applyBorder="1" applyAlignment="1">
      <alignment horizontal="right"/>
    </xf>
    <xf numFmtId="178" fontId="2" fillId="0" borderId="12" xfId="57" applyNumberFormat="1" applyFont="1" applyBorder="1">
      <alignment/>
      <protection/>
    </xf>
    <xf numFmtId="179" fontId="10" fillId="0" borderId="12" xfId="57" applyNumberFormat="1" applyFont="1" applyBorder="1">
      <alignment/>
      <protection/>
    </xf>
    <xf numFmtId="0" fontId="10" fillId="0" borderId="12" xfId="57" applyFont="1" applyBorder="1">
      <alignment/>
      <protection/>
    </xf>
    <xf numFmtId="178" fontId="71" fillId="0" borderId="12" xfId="57" applyNumberFormat="1" applyFont="1" applyFill="1" applyBorder="1">
      <alignment/>
      <protection/>
    </xf>
    <xf numFmtId="180" fontId="72" fillId="0" borderId="12" xfId="0" applyNumberFormat="1" applyFont="1" applyBorder="1" applyAlignment="1">
      <alignment horizontal="right"/>
    </xf>
    <xf numFmtId="180" fontId="72" fillId="0" borderId="12" xfId="0" applyNumberFormat="1" applyFont="1" applyBorder="1" applyAlignment="1">
      <alignment/>
    </xf>
    <xf numFmtId="180" fontId="73" fillId="0" borderId="12" xfId="0" applyNumberFormat="1" applyFont="1" applyBorder="1" applyAlignment="1">
      <alignment/>
    </xf>
    <xf numFmtId="178" fontId="73" fillId="0" borderId="12" xfId="0" applyNumberFormat="1" applyFont="1" applyBorder="1" applyAlignment="1">
      <alignment/>
    </xf>
    <xf numFmtId="4" fontId="73" fillId="0" borderId="12" xfId="0" applyNumberFormat="1" applyFont="1" applyBorder="1" applyAlignment="1">
      <alignment/>
    </xf>
    <xf numFmtId="4" fontId="72" fillId="0" borderId="12" xfId="0" applyNumberFormat="1" applyFont="1" applyBorder="1" applyAlignment="1">
      <alignment/>
    </xf>
    <xf numFmtId="178" fontId="79" fillId="32" borderId="12" xfId="0" applyNumberFormat="1" applyFont="1" applyFill="1" applyBorder="1" applyAlignment="1">
      <alignment/>
    </xf>
    <xf numFmtId="178" fontId="79" fillId="0" borderId="12" xfId="0" applyNumberFormat="1" applyFont="1" applyBorder="1" applyAlignment="1">
      <alignment/>
    </xf>
    <xf numFmtId="0" fontId="80" fillId="0" borderId="12" xfId="0" applyFont="1" applyBorder="1" applyAlignment="1">
      <alignment horizontal="left"/>
    </xf>
    <xf numFmtId="178" fontId="80" fillId="0" borderId="12" xfId="0" applyNumberFormat="1" applyFont="1" applyBorder="1" applyAlignment="1">
      <alignment/>
    </xf>
    <xf numFmtId="180" fontId="80" fillId="0" borderId="12" xfId="0" applyNumberFormat="1" applyFont="1" applyBorder="1" applyAlignment="1">
      <alignment/>
    </xf>
    <xf numFmtId="4" fontId="80" fillId="0" borderId="12" xfId="0" applyNumberFormat="1" applyFont="1" applyBorder="1" applyAlignment="1">
      <alignment/>
    </xf>
    <xf numFmtId="178" fontId="80" fillId="32" borderId="12" xfId="0" applyNumberFormat="1" applyFont="1" applyFill="1" applyBorder="1" applyAlignment="1">
      <alignment/>
    </xf>
    <xf numFmtId="178" fontId="80" fillId="0" borderId="12" xfId="57" applyNumberFormat="1" applyFont="1" applyBorder="1">
      <alignment/>
      <protection/>
    </xf>
    <xf numFmtId="178" fontId="71" fillId="0" borderId="18" xfId="58" applyNumberFormat="1" applyFont="1" applyFill="1" applyBorder="1">
      <alignment/>
      <protection/>
    </xf>
    <xf numFmtId="178" fontId="71" fillId="0" borderId="19" xfId="58" applyNumberFormat="1" applyFont="1" applyFill="1" applyBorder="1">
      <alignment/>
      <protection/>
    </xf>
    <xf numFmtId="178" fontId="81" fillId="0" borderId="12" xfId="55" applyNumberFormat="1" applyFont="1" applyBorder="1">
      <alignment/>
      <protection/>
    </xf>
    <xf numFmtId="178" fontId="71" fillId="0" borderId="12" xfId="55" applyNumberFormat="1" applyFont="1" applyBorder="1">
      <alignment/>
      <protection/>
    </xf>
    <xf numFmtId="3" fontId="70" fillId="0" borderId="10" xfId="0" applyNumberFormat="1" applyFont="1" applyBorder="1" applyAlignment="1">
      <alignment horizontal="center" vertical="center" wrapText="1"/>
    </xf>
    <xf numFmtId="178" fontId="77" fillId="0" borderId="12" xfId="55" applyNumberFormat="1" applyFont="1" applyBorder="1">
      <alignment/>
      <protection/>
    </xf>
    <xf numFmtId="178" fontId="76" fillId="0" borderId="12" xfId="55" applyNumberFormat="1" applyFont="1" applyBorder="1">
      <alignment/>
      <protection/>
    </xf>
    <xf numFmtId="178" fontId="70" fillId="0" borderId="12" xfId="0" applyNumberFormat="1" applyFont="1" applyBorder="1" applyAlignment="1">
      <alignment/>
    </xf>
    <xf numFmtId="178" fontId="72" fillId="0" borderId="13" xfId="0" applyNumberFormat="1" applyFont="1" applyBorder="1" applyAlignment="1">
      <alignment/>
    </xf>
    <xf numFmtId="0" fontId="82" fillId="0" borderId="12" xfId="0" applyFont="1" applyBorder="1" applyAlignment="1">
      <alignment horizontal="left"/>
    </xf>
    <xf numFmtId="180" fontId="82" fillId="0" borderId="12" xfId="0" applyNumberFormat="1" applyFont="1" applyBorder="1" applyAlignment="1">
      <alignment/>
    </xf>
    <xf numFmtId="178" fontId="82" fillId="32" borderId="12" xfId="57" applyNumberFormat="1" applyFont="1" applyFill="1" applyBorder="1">
      <alignment/>
      <protection/>
    </xf>
    <xf numFmtId="4" fontId="82" fillId="0" borderId="12" xfId="0" applyNumberFormat="1" applyFont="1" applyBorder="1" applyAlignment="1">
      <alignment/>
    </xf>
    <xf numFmtId="0" fontId="82" fillId="0" borderId="12" xfId="0" applyFont="1" applyBorder="1" applyAlignment="1">
      <alignment/>
    </xf>
    <xf numFmtId="178" fontId="82" fillId="0" borderId="12" xfId="0" applyNumberFormat="1" applyFont="1" applyBorder="1" applyAlignment="1">
      <alignment/>
    </xf>
    <xf numFmtId="180" fontId="82" fillId="32" borderId="12" xfId="57" applyNumberFormat="1" applyFont="1" applyFill="1" applyBorder="1">
      <alignment/>
      <protection/>
    </xf>
    <xf numFmtId="178" fontId="82" fillId="32" borderId="12" xfId="0" applyNumberFormat="1" applyFont="1" applyFill="1" applyBorder="1" applyAlignment="1">
      <alignment/>
    </xf>
    <xf numFmtId="178" fontId="74" fillId="0" borderId="10" xfId="0" applyNumberFormat="1" applyFont="1" applyBorder="1" applyAlignment="1">
      <alignment/>
    </xf>
    <xf numFmtId="178" fontId="76" fillId="0" borderId="10" xfId="0" applyNumberFormat="1" applyFont="1" applyBorder="1" applyAlignment="1">
      <alignment/>
    </xf>
    <xf numFmtId="178" fontId="77" fillId="0" borderId="10" xfId="0" applyNumberFormat="1" applyFont="1" applyBorder="1" applyAlignment="1">
      <alignment/>
    </xf>
    <xf numFmtId="178" fontId="71" fillId="0" borderId="10" xfId="0" applyNumberFormat="1" applyFont="1" applyBorder="1" applyAlignment="1">
      <alignment/>
    </xf>
    <xf numFmtId="178" fontId="71" fillId="0" borderId="10" xfId="0" applyNumberFormat="1" applyFont="1" applyBorder="1" applyAlignment="1">
      <alignment vertical="center"/>
    </xf>
    <xf numFmtId="178" fontId="70" fillId="0" borderId="10" xfId="0" applyNumberFormat="1" applyFont="1" applyBorder="1" applyAlignment="1">
      <alignment/>
    </xf>
    <xf numFmtId="178" fontId="73" fillId="0" borderId="10" xfId="0" applyNumberFormat="1" applyFont="1" applyBorder="1" applyAlignment="1">
      <alignment/>
    </xf>
    <xf numFmtId="178" fontId="75" fillId="0" borderId="10" xfId="0" applyNumberFormat="1" applyFont="1" applyBorder="1" applyAlignment="1">
      <alignment/>
    </xf>
    <xf numFmtId="178" fontId="72" fillId="0" borderId="10" xfId="0" applyNumberFormat="1" applyFont="1" applyBorder="1" applyAlignment="1">
      <alignment/>
    </xf>
    <xf numFmtId="178" fontId="72" fillId="0" borderId="10" xfId="0" applyNumberFormat="1" applyFont="1" applyBorder="1" applyAlignment="1">
      <alignment vertical="center"/>
    </xf>
    <xf numFmtId="0" fontId="74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178" fontId="71" fillId="32" borderId="1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rmal_Sheet1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HI%20CUC%20TRONG%20TROT%20VA%20BVTV\PHONG%20TRONG%20TROT\BAO%20CAO\Nam%202022\Quy%20II\Phu%20luc%202%20chuyen%20doi%20cay%20trong%20dat%20lu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 2 chuyen doi dat lua"/>
      <sheetName val="Đa lat"/>
      <sheetName val="Bao loc"/>
      <sheetName val="Đam rong"/>
      <sheetName val="Lac duong"/>
      <sheetName val="Lam ha"/>
      <sheetName val="Đon duong"/>
      <sheetName val="Đuc trong"/>
      <sheetName val="Di linh"/>
      <sheetName val="Bao lam"/>
      <sheetName val="Đa huoai"/>
      <sheetName val="Đa teh"/>
      <sheetName val="Cat tien"/>
    </sheetNames>
    <sheetDataSet>
      <sheetData sheetId="6">
        <row r="10">
          <cell r="C10">
            <v>78</v>
          </cell>
        </row>
        <row r="11">
          <cell r="C1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1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7" sqref="A7"/>
    </sheetView>
  </sheetViews>
  <sheetFormatPr defaultColWidth="9.00390625" defaultRowHeight="15.75"/>
  <cols>
    <col min="1" max="1" width="22.625" style="61" customWidth="1"/>
    <col min="2" max="2" width="8.50390625" style="47" hidden="1" customWidth="1"/>
    <col min="3" max="3" width="9.50390625" style="61" customWidth="1"/>
    <col min="4" max="4" width="9.75390625" style="61" customWidth="1"/>
    <col min="5" max="5" width="8.50390625" style="61" customWidth="1"/>
    <col min="6" max="6" width="7.25390625" style="61" customWidth="1"/>
    <col min="7" max="7" width="7.00390625" style="61" customWidth="1"/>
    <col min="8" max="8" width="7.75390625" style="61" customWidth="1"/>
    <col min="9" max="9" width="7.375" style="61" customWidth="1"/>
    <col min="10" max="10" width="8.125" style="61" customWidth="1"/>
    <col min="11" max="11" width="7.875" style="61" customWidth="1"/>
    <col min="12" max="12" width="7.125" style="61" customWidth="1"/>
    <col min="13" max="14" width="6.875" style="61" customWidth="1"/>
    <col min="15" max="15" width="6.625" style="61" customWidth="1"/>
    <col min="16" max="16" width="6.25390625" style="61" customWidth="1"/>
    <col min="17" max="17" width="6.125" style="61" customWidth="1"/>
    <col min="18" max="18" width="6.00390625" style="47" hidden="1" customWidth="1"/>
    <col min="19" max="19" width="6.50390625" style="61" customWidth="1"/>
    <col min="20" max="20" width="8.25390625" style="61" customWidth="1"/>
    <col min="21" max="16384" width="9.00390625" style="61" customWidth="1"/>
  </cols>
  <sheetData>
    <row r="1" spans="1:18" ht="15.75">
      <c r="A1" s="417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</row>
    <row r="2" spans="1:19" ht="14.25" customHeight="1">
      <c r="A2" s="417" t="s">
        <v>322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123"/>
    </row>
    <row r="3" spans="2:11" ht="15.75">
      <c r="B3" s="87"/>
      <c r="C3" s="87"/>
      <c r="D3" s="87"/>
      <c r="K3" s="61" t="s">
        <v>10</v>
      </c>
    </row>
    <row r="4" spans="1:19" ht="42.75" customHeight="1">
      <c r="A4" s="149" t="s">
        <v>0</v>
      </c>
      <c r="B4" s="127" t="s">
        <v>303</v>
      </c>
      <c r="C4" s="232" t="s">
        <v>312</v>
      </c>
      <c r="D4" s="127" t="s">
        <v>314</v>
      </c>
      <c r="E4" s="414" t="s">
        <v>1</v>
      </c>
      <c r="F4" s="414" t="s">
        <v>112</v>
      </c>
      <c r="G4" s="414" t="s">
        <v>2</v>
      </c>
      <c r="H4" s="414" t="s">
        <v>109</v>
      </c>
      <c r="I4" s="414" t="s">
        <v>3</v>
      </c>
      <c r="J4" s="414" t="s">
        <v>106</v>
      </c>
      <c r="K4" s="414" t="s">
        <v>110</v>
      </c>
      <c r="L4" s="414" t="s">
        <v>111</v>
      </c>
      <c r="M4" s="414" t="s">
        <v>5</v>
      </c>
      <c r="N4" s="414" t="s">
        <v>6</v>
      </c>
      <c r="O4" s="232" t="s">
        <v>7</v>
      </c>
      <c r="P4" s="414" t="s">
        <v>8</v>
      </c>
      <c r="Q4" s="232" t="s">
        <v>9</v>
      </c>
      <c r="R4" s="127" t="s">
        <v>191</v>
      </c>
      <c r="S4" s="196"/>
    </row>
    <row r="5" spans="1:20" ht="15.75">
      <c r="A5" s="150" t="s">
        <v>11</v>
      </c>
      <c r="B5" s="151">
        <f>B9+B145</f>
        <v>366596.5</v>
      </c>
      <c r="C5" s="238">
        <f>C9+C145</f>
        <v>396523.30000000005</v>
      </c>
      <c r="D5" s="151">
        <f aca="true" t="shared" si="0" ref="D5:D11">SUM(E5:P5)</f>
        <v>308576.14999999997</v>
      </c>
      <c r="E5" s="151">
        <f aca="true" t="shared" si="1" ref="E5:P5">E9+E145</f>
        <v>11793.45</v>
      </c>
      <c r="F5" s="151">
        <f t="shared" si="1"/>
        <v>18032</v>
      </c>
      <c r="G5" s="151">
        <f t="shared" si="1"/>
        <v>17624.6</v>
      </c>
      <c r="H5" s="151">
        <f t="shared" si="1"/>
        <v>10274.5</v>
      </c>
      <c r="I5" s="151">
        <f t="shared" si="1"/>
        <v>49668.799999999996</v>
      </c>
      <c r="J5" s="151">
        <f t="shared" si="1"/>
        <v>14821.4</v>
      </c>
      <c r="K5" s="151">
        <f t="shared" si="1"/>
        <v>29175.4</v>
      </c>
      <c r="L5" s="151">
        <f t="shared" si="1"/>
        <v>56740.40000000001</v>
      </c>
      <c r="M5" s="151">
        <f t="shared" si="1"/>
        <v>52437.7</v>
      </c>
      <c r="N5" s="151">
        <f t="shared" si="1"/>
        <v>16849.100000000002</v>
      </c>
      <c r="O5" s="151">
        <f t="shared" si="1"/>
        <v>17757.7</v>
      </c>
      <c r="P5" s="151">
        <f t="shared" si="1"/>
        <v>13401.1</v>
      </c>
      <c r="Q5" s="152">
        <f>D5/C5*100</f>
        <v>77.82043325070681</v>
      </c>
      <c r="R5" s="92">
        <f aca="true" t="shared" si="2" ref="R5:R36">D5/B5*100</f>
        <v>84.17323951537998</v>
      </c>
      <c r="S5" s="196"/>
      <c r="T5" s="85"/>
    </row>
    <row r="6" spans="1:19" ht="15.75">
      <c r="A6" s="153" t="s">
        <v>12</v>
      </c>
      <c r="B6" s="55">
        <f>B7+B8</f>
        <v>114471.40000000001</v>
      </c>
      <c r="C6" s="55">
        <f>C7+C8</f>
        <v>188410.5</v>
      </c>
      <c r="D6" s="55">
        <f t="shared" si="0"/>
        <v>8448.65</v>
      </c>
      <c r="E6" s="55">
        <f>E7+E8</f>
        <v>0</v>
      </c>
      <c r="F6" s="55">
        <f aca="true" t="shared" si="3" ref="F6:P6">F7+F8</f>
        <v>0</v>
      </c>
      <c r="G6" s="55">
        <f t="shared" si="3"/>
        <v>347.9</v>
      </c>
      <c r="H6" s="55">
        <f t="shared" si="3"/>
        <v>0</v>
      </c>
      <c r="I6" s="55">
        <f t="shared" si="3"/>
        <v>0</v>
      </c>
      <c r="J6" s="55">
        <f t="shared" si="3"/>
        <v>0</v>
      </c>
      <c r="K6" s="55">
        <f t="shared" si="3"/>
        <v>0</v>
      </c>
      <c r="L6" s="55">
        <f t="shared" si="3"/>
        <v>0</v>
      </c>
      <c r="M6" s="55">
        <f t="shared" si="3"/>
        <v>0</v>
      </c>
      <c r="N6" s="55">
        <f t="shared" si="3"/>
        <v>0</v>
      </c>
      <c r="O6" s="55">
        <f t="shared" si="3"/>
        <v>0</v>
      </c>
      <c r="P6" s="55">
        <f t="shared" si="3"/>
        <v>8100.75</v>
      </c>
      <c r="Q6" s="154">
        <f aca="true" t="shared" si="4" ref="Q6:Q66">D6/C6*100</f>
        <v>4.4841715297183535</v>
      </c>
      <c r="R6" s="91">
        <f t="shared" si="2"/>
        <v>7.380577157263735</v>
      </c>
      <c r="S6" s="196"/>
    </row>
    <row r="7" spans="1:19" ht="15.75">
      <c r="A7" s="168" t="s">
        <v>13</v>
      </c>
      <c r="B7" s="96">
        <f>B13</f>
        <v>83239.6</v>
      </c>
      <c r="C7" s="96">
        <f>C13</f>
        <v>149225</v>
      </c>
      <c r="D7" s="96">
        <f t="shared" si="0"/>
        <v>7557</v>
      </c>
      <c r="E7" s="96">
        <f>E13</f>
        <v>0</v>
      </c>
      <c r="F7" s="96">
        <f aca="true" t="shared" si="5" ref="F7:P7">F13</f>
        <v>0</v>
      </c>
      <c r="G7" s="96">
        <f t="shared" si="5"/>
        <v>0</v>
      </c>
      <c r="H7" s="96">
        <f t="shared" si="5"/>
        <v>0</v>
      </c>
      <c r="I7" s="96">
        <f t="shared" si="5"/>
        <v>0</v>
      </c>
      <c r="J7" s="96">
        <f t="shared" si="5"/>
        <v>0</v>
      </c>
      <c r="K7" s="96">
        <f t="shared" si="5"/>
        <v>0</v>
      </c>
      <c r="L7" s="96">
        <f t="shared" si="5"/>
        <v>0</v>
      </c>
      <c r="M7" s="96">
        <f t="shared" si="5"/>
        <v>0</v>
      </c>
      <c r="N7" s="96">
        <f t="shared" si="5"/>
        <v>0</v>
      </c>
      <c r="O7" s="96">
        <f t="shared" si="5"/>
        <v>0</v>
      </c>
      <c r="P7" s="96">
        <f t="shared" si="5"/>
        <v>7557</v>
      </c>
      <c r="Q7" s="171">
        <f t="shared" si="4"/>
        <v>5.064164851733959</v>
      </c>
      <c r="R7" s="160">
        <f t="shared" si="2"/>
        <v>9.078611622352822</v>
      </c>
      <c r="S7" s="197"/>
    </row>
    <row r="8" spans="1:19" ht="15.75">
      <c r="A8" s="155" t="s">
        <v>14</v>
      </c>
      <c r="B8" s="46">
        <f>B33</f>
        <v>31231.800000000003</v>
      </c>
      <c r="C8" s="46">
        <f>C33</f>
        <v>39185.5</v>
      </c>
      <c r="D8" s="46">
        <f t="shared" si="0"/>
        <v>891.65</v>
      </c>
      <c r="E8" s="46">
        <f>E33</f>
        <v>0</v>
      </c>
      <c r="F8" s="46">
        <f aca="true" t="shared" si="6" ref="F8:P8">F33</f>
        <v>0</v>
      </c>
      <c r="G8" s="46">
        <f t="shared" si="6"/>
        <v>347.9</v>
      </c>
      <c r="H8" s="46">
        <f t="shared" si="6"/>
        <v>0</v>
      </c>
      <c r="I8" s="46">
        <f t="shared" si="6"/>
        <v>0</v>
      </c>
      <c r="J8" s="46">
        <f t="shared" si="6"/>
        <v>0</v>
      </c>
      <c r="K8" s="46">
        <f t="shared" si="6"/>
        <v>0</v>
      </c>
      <c r="L8" s="46">
        <f t="shared" si="6"/>
        <v>0</v>
      </c>
      <c r="M8" s="46">
        <f t="shared" si="6"/>
        <v>0</v>
      </c>
      <c r="N8" s="46">
        <f t="shared" si="6"/>
        <v>0</v>
      </c>
      <c r="O8" s="46">
        <f t="shared" si="6"/>
        <v>0</v>
      </c>
      <c r="P8" s="46">
        <f t="shared" si="6"/>
        <v>543.75</v>
      </c>
      <c r="Q8" s="156">
        <f t="shared" si="4"/>
        <v>2.275459034591877</v>
      </c>
      <c r="R8" s="157">
        <f t="shared" si="2"/>
        <v>2.854942718639335</v>
      </c>
      <c r="S8" s="196"/>
    </row>
    <row r="9" spans="1:20" ht="15.75">
      <c r="A9" s="153" t="s">
        <v>15</v>
      </c>
      <c r="B9" s="55">
        <f>B10+B30+B46+B50+B66+B70+B103+B119+B135+B139+B143+B144</f>
        <v>102821.40000000001</v>
      </c>
      <c r="C9" s="55">
        <f>C10+C30+C46+C50+C66+C70+C103+C119+C135+C139+C143+C144</f>
        <v>127288.7</v>
      </c>
      <c r="D9" s="55">
        <f t="shared" si="0"/>
        <v>41269.799999999996</v>
      </c>
      <c r="E9" s="55">
        <f aca="true" t="shared" si="7" ref="E9:P9">E10+E30+E46+E50+E66+E70+E103+E119+E135+E139+E143+E144</f>
        <v>5677</v>
      </c>
      <c r="F9" s="55">
        <f t="shared" si="7"/>
        <v>47</v>
      </c>
      <c r="G9" s="55">
        <f t="shared" si="7"/>
        <v>939.5</v>
      </c>
      <c r="H9" s="55">
        <f t="shared" si="7"/>
        <v>3450.5</v>
      </c>
      <c r="I9" s="55">
        <f t="shared" si="7"/>
        <v>1303.1000000000001</v>
      </c>
      <c r="J9" s="55">
        <f t="shared" si="7"/>
        <v>11691</v>
      </c>
      <c r="K9" s="55">
        <f t="shared" si="7"/>
        <v>9475</v>
      </c>
      <c r="L9" s="55">
        <f t="shared" si="7"/>
        <v>636</v>
      </c>
      <c r="M9" s="55">
        <f t="shared" si="7"/>
        <v>101</v>
      </c>
      <c r="N9" s="55">
        <f t="shared" si="7"/>
        <v>187</v>
      </c>
      <c r="O9" s="55">
        <f t="shared" si="7"/>
        <v>2552.7</v>
      </c>
      <c r="P9" s="55">
        <f t="shared" si="7"/>
        <v>5210</v>
      </c>
      <c r="Q9" s="154">
        <f t="shared" si="4"/>
        <v>32.42220244216493</v>
      </c>
      <c r="R9" s="91">
        <f t="shared" si="2"/>
        <v>40.13736440079593</v>
      </c>
      <c r="S9" s="198"/>
      <c r="T9" s="85"/>
    </row>
    <row r="10" spans="1:19" ht="15.75">
      <c r="A10" s="158" t="s">
        <v>16</v>
      </c>
      <c r="B10" s="23">
        <f aca="true" t="shared" si="8" ref="B10:P11">B14+B18+B22+B26</f>
        <v>26075.5</v>
      </c>
      <c r="C10" s="23">
        <f t="shared" si="8"/>
        <v>26810</v>
      </c>
      <c r="D10" s="23">
        <f t="shared" si="0"/>
        <v>6600</v>
      </c>
      <c r="E10" s="23">
        <f t="shared" si="8"/>
        <v>1</v>
      </c>
      <c r="F10" s="23">
        <f t="shared" si="8"/>
        <v>0</v>
      </c>
      <c r="G10" s="23">
        <f t="shared" si="8"/>
        <v>595</v>
      </c>
      <c r="H10" s="23">
        <f t="shared" si="8"/>
        <v>76</v>
      </c>
      <c r="I10" s="23">
        <f t="shared" si="8"/>
        <v>150</v>
      </c>
      <c r="J10" s="23">
        <f t="shared" si="8"/>
        <v>323</v>
      </c>
      <c r="K10" s="23">
        <f t="shared" si="8"/>
        <v>720</v>
      </c>
      <c r="L10" s="23">
        <f t="shared" si="8"/>
        <v>177</v>
      </c>
      <c r="M10" s="23">
        <f t="shared" si="8"/>
        <v>0</v>
      </c>
      <c r="N10" s="23">
        <f t="shared" si="8"/>
        <v>12</v>
      </c>
      <c r="O10" s="23">
        <f t="shared" si="8"/>
        <v>585</v>
      </c>
      <c r="P10" s="23">
        <f t="shared" si="8"/>
        <v>3961</v>
      </c>
      <c r="Q10" s="159">
        <f t="shared" si="4"/>
        <v>24.61767997016039</v>
      </c>
      <c r="R10" s="327">
        <f t="shared" si="2"/>
        <v>25.311115798354777</v>
      </c>
      <c r="S10" s="196"/>
    </row>
    <row r="11" spans="1:19" ht="15.75">
      <c r="A11" s="158" t="s">
        <v>17</v>
      </c>
      <c r="B11" s="23">
        <f t="shared" si="8"/>
        <v>14583.8</v>
      </c>
      <c r="C11" s="23">
        <f>C15+C19+C23+C27</f>
        <v>26810</v>
      </c>
      <c r="D11" s="23">
        <f t="shared" si="0"/>
        <v>1100</v>
      </c>
      <c r="E11" s="23">
        <f aca="true" t="shared" si="9" ref="E11:P11">E15+E19+E23+E27</f>
        <v>0</v>
      </c>
      <c r="F11" s="23">
        <f t="shared" si="9"/>
        <v>0</v>
      </c>
      <c r="G11" s="23">
        <f t="shared" si="9"/>
        <v>0</v>
      </c>
      <c r="H11" s="23">
        <f t="shared" si="9"/>
        <v>0</v>
      </c>
      <c r="I11" s="23">
        <f t="shared" si="9"/>
        <v>0</v>
      </c>
      <c r="J11" s="23">
        <f t="shared" si="9"/>
        <v>0</v>
      </c>
      <c r="K11" s="23">
        <f t="shared" si="9"/>
        <v>0</v>
      </c>
      <c r="L11" s="23">
        <f t="shared" si="9"/>
        <v>0</v>
      </c>
      <c r="M11" s="23">
        <f t="shared" si="9"/>
        <v>0</v>
      </c>
      <c r="N11" s="23">
        <f t="shared" si="9"/>
        <v>0</v>
      </c>
      <c r="O11" s="23">
        <f t="shared" si="9"/>
        <v>0</v>
      </c>
      <c r="P11" s="23">
        <f t="shared" si="9"/>
        <v>1100</v>
      </c>
      <c r="Q11" s="159">
        <f t="shared" si="4"/>
        <v>4.102946661693398</v>
      </c>
      <c r="R11" s="327">
        <f t="shared" si="2"/>
        <v>7.542615779152211</v>
      </c>
      <c r="S11" s="197"/>
    </row>
    <row r="12" spans="1:19" ht="15.75">
      <c r="A12" s="158" t="s">
        <v>18</v>
      </c>
      <c r="B12" s="23">
        <f>B13/B11*10</f>
        <v>57.07675640093804</v>
      </c>
      <c r="C12" s="23">
        <f>C13/C11*10</f>
        <v>55.66020141738157</v>
      </c>
      <c r="D12" s="23">
        <f>D13/D11*10</f>
        <v>68.7</v>
      </c>
      <c r="E12" s="23" t="e">
        <f>E13/E11*10</f>
        <v>#DIV/0!</v>
      </c>
      <c r="F12" s="23" t="e">
        <f aca="true" t="shared" si="10" ref="F12:P12">F13/F11*10</f>
        <v>#DIV/0!</v>
      </c>
      <c r="G12" s="23" t="e">
        <f t="shared" si="10"/>
        <v>#DIV/0!</v>
      </c>
      <c r="H12" s="23" t="e">
        <f t="shared" si="10"/>
        <v>#DIV/0!</v>
      </c>
      <c r="I12" s="23" t="e">
        <f t="shared" si="10"/>
        <v>#DIV/0!</v>
      </c>
      <c r="J12" s="23" t="e">
        <f t="shared" si="10"/>
        <v>#DIV/0!</v>
      </c>
      <c r="K12" s="23" t="e">
        <f t="shared" si="10"/>
        <v>#DIV/0!</v>
      </c>
      <c r="L12" s="23" t="e">
        <f t="shared" si="10"/>
        <v>#DIV/0!</v>
      </c>
      <c r="M12" s="23" t="e">
        <f t="shared" si="10"/>
        <v>#DIV/0!</v>
      </c>
      <c r="N12" s="23" t="e">
        <f t="shared" si="10"/>
        <v>#DIV/0!</v>
      </c>
      <c r="O12" s="23" t="e">
        <f t="shared" si="10"/>
        <v>#DIV/0!</v>
      </c>
      <c r="P12" s="23">
        <f t="shared" si="10"/>
        <v>68.7</v>
      </c>
      <c r="Q12" s="159">
        <f t="shared" si="4"/>
        <v>123.42750879544313</v>
      </c>
      <c r="R12" s="327">
        <f t="shared" si="2"/>
        <v>120.3642328891537</v>
      </c>
      <c r="S12" s="197"/>
    </row>
    <row r="13" spans="1:19" ht="15.75">
      <c r="A13" s="158" t="s">
        <v>19</v>
      </c>
      <c r="B13" s="23">
        <f>B17+B21+B25+B29</f>
        <v>83239.6</v>
      </c>
      <c r="C13" s="23">
        <f>C17+C21+C25+C29</f>
        <v>149225</v>
      </c>
      <c r="D13" s="23">
        <f>SUM(E13:P13)</f>
        <v>7557</v>
      </c>
      <c r="E13" s="23">
        <f aca="true" t="shared" si="11" ref="E13:P13">E17+E21+E25+E29</f>
        <v>0</v>
      </c>
      <c r="F13" s="23">
        <f t="shared" si="11"/>
        <v>0</v>
      </c>
      <c r="G13" s="23">
        <f t="shared" si="11"/>
        <v>0</v>
      </c>
      <c r="H13" s="23">
        <f t="shared" si="11"/>
        <v>0</v>
      </c>
      <c r="I13" s="23">
        <f t="shared" si="11"/>
        <v>0</v>
      </c>
      <c r="J13" s="23">
        <f t="shared" si="11"/>
        <v>0</v>
      </c>
      <c r="K13" s="23">
        <f t="shared" si="11"/>
        <v>0</v>
      </c>
      <c r="L13" s="23">
        <f t="shared" si="11"/>
        <v>0</v>
      </c>
      <c r="M13" s="23">
        <f t="shared" si="11"/>
        <v>0</v>
      </c>
      <c r="N13" s="23">
        <f t="shared" si="11"/>
        <v>0</v>
      </c>
      <c r="O13" s="23">
        <f t="shared" si="11"/>
        <v>0</v>
      </c>
      <c r="P13" s="23">
        <f t="shared" si="11"/>
        <v>7557</v>
      </c>
      <c r="Q13" s="159">
        <f t="shared" si="4"/>
        <v>5.064164851733959</v>
      </c>
      <c r="R13" s="327">
        <f t="shared" si="2"/>
        <v>9.078611622352822</v>
      </c>
      <c r="S13" s="196"/>
    </row>
    <row r="14" spans="1:19" ht="15.75">
      <c r="A14" s="165" t="s">
        <v>141</v>
      </c>
      <c r="B14" s="172">
        <v>8823</v>
      </c>
      <c r="C14" s="166">
        <v>8932</v>
      </c>
      <c r="D14" s="166">
        <f aca="true" t="shared" si="12" ref="D14:D74">SUM(E14:P14)</f>
        <v>6600</v>
      </c>
      <c r="E14" s="173">
        <f>'Vu ĐX 2022-2023'!D11</f>
        <v>1</v>
      </c>
      <c r="F14" s="173">
        <f>'Vu ĐX 2022-2023'!E11</f>
        <v>0</v>
      </c>
      <c r="G14" s="173">
        <f>'Vu ĐX 2022-2023'!F11</f>
        <v>595</v>
      </c>
      <c r="H14" s="173">
        <f>'Vu ĐX 2022-2023'!G11</f>
        <v>76</v>
      </c>
      <c r="I14" s="173">
        <f>'Vu ĐX 2022-2023'!H11</f>
        <v>150</v>
      </c>
      <c r="J14" s="173">
        <f>'Vu ĐX 2022-2023'!I11</f>
        <v>323</v>
      </c>
      <c r="K14" s="173">
        <f>'Vu ĐX 2022-2023'!J11</f>
        <v>720</v>
      </c>
      <c r="L14" s="173">
        <f>'Vu ĐX 2022-2023'!K11</f>
        <v>177</v>
      </c>
      <c r="M14" s="173">
        <f>'Vu ĐX 2022-2023'!L11</f>
        <v>0</v>
      </c>
      <c r="N14" s="173">
        <f>'Vu ĐX 2022-2023'!M11</f>
        <v>12</v>
      </c>
      <c r="O14" s="173">
        <f>'Vu ĐX 2022-2023'!N11</f>
        <v>585</v>
      </c>
      <c r="P14" s="173">
        <f>'Vu ĐX 2022-2023'!O11</f>
        <v>3961</v>
      </c>
      <c r="Q14" s="167">
        <f t="shared" si="4"/>
        <v>73.89162561576354</v>
      </c>
      <c r="R14" s="328">
        <f t="shared" si="2"/>
        <v>74.80448826929616</v>
      </c>
      <c r="S14" s="197"/>
    </row>
    <row r="15" spans="1:19" ht="15.75">
      <c r="A15" s="155" t="s">
        <v>17</v>
      </c>
      <c r="B15" s="169">
        <v>8823</v>
      </c>
      <c r="C15" s="46">
        <f>C14</f>
        <v>8932</v>
      </c>
      <c r="D15" s="46">
        <f t="shared" si="12"/>
        <v>1100</v>
      </c>
      <c r="E15" s="163">
        <f>'Vu ĐX 2022-2023'!D15</f>
        <v>0</v>
      </c>
      <c r="F15" s="163">
        <f>'Vu ĐX 2022-2023'!E15</f>
        <v>0</v>
      </c>
      <c r="G15" s="163">
        <f>'Vu ĐX 2022-2023'!F15</f>
        <v>0</v>
      </c>
      <c r="H15" s="163">
        <f>'Vu ĐX 2022-2023'!G15</f>
        <v>0</v>
      </c>
      <c r="I15" s="163">
        <f>'Vu ĐX 2022-2023'!H15</f>
        <v>0</v>
      </c>
      <c r="J15" s="163">
        <f>'Vu ĐX 2022-2023'!I15</f>
        <v>0</v>
      </c>
      <c r="K15" s="163">
        <f>'Vu ĐX 2022-2023'!J15</f>
        <v>0</v>
      </c>
      <c r="L15" s="163">
        <f>'Vu ĐX 2022-2023'!K15</f>
        <v>0</v>
      </c>
      <c r="M15" s="163">
        <f>'Vu ĐX 2022-2023'!L15</f>
        <v>0</v>
      </c>
      <c r="N15" s="163">
        <f>'Vu ĐX 2022-2023'!M15</f>
        <v>0</v>
      </c>
      <c r="O15" s="163">
        <f>'Vu ĐX 2022-2023'!N15</f>
        <v>0</v>
      </c>
      <c r="P15" s="163">
        <f>'Vu ĐX 2022-2023'!O15</f>
        <v>1100</v>
      </c>
      <c r="Q15" s="156">
        <f t="shared" si="4"/>
        <v>12.31527093596059</v>
      </c>
      <c r="R15" s="157">
        <f t="shared" si="2"/>
        <v>12.46741471154936</v>
      </c>
      <c r="S15" s="196"/>
    </row>
    <row r="16" spans="1:19" ht="15.75">
      <c r="A16" s="168" t="s">
        <v>18</v>
      </c>
      <c r="B16" s="169">
        <v>57.7</v>
      </c>
      <c r="C16" s="96">
        <v>57.5</v>
      </c>
      <c r="D16" s="96">
        <f>D17/D15*10</f>
        <v>68.7</v>
      </c>
      <c r="E16" s="175">
        <f>'Vu ĐX 2022-2023'!D16</f>
        <v>0</v>
      </c>
      <c r="F16" s="175">
        <f>'Vu ĐX 2022-2023'!E16</f>
        <v>0</v>
      </c>
      <c r="G16" s="175">
        <f>'Vu ĐX 2022-2023'!F16</f>
        <v>0</v>
      </c>
      <c r="H16" s="175">
        <f>'Vu ĐX 2022-2023'!G16</f>
        <v>0</v>
      </c>
      <c r="I16" s="175">
        <f>'Vu ĐX 2022-2023'!H16</f>
        <v>0</v>
      </c>
      <c r="J16" s="175">
        <f>'Vu ĐX 2022-2023'!I16</f>
        <v>0</v>
      </c>
      <c r="K16" s="175">
        <f>'Vu ĐX 2022-2023'!J16</f>
        <v>0</v>
      </c>
      <c r="L16" s="175">
        <f>'Vu ĐX 2022-2023'!K16</f>
        <v>0</v>
      </c>
      <c r="M16" s="175">
        <f>'Vu ĐX 2022-2023'!L16</f>
        <v>0</v>
      </c>
      <c r="N16" s="175">
        <f>'Vu ĐX 2022-2023'!M16</f>
        <v>0</v>
      </c>
      <c r="O16" s="175">
        <f>'Vu ĐX 2022-2023'!N16</f>
        <v>0</v>
      </c>
      <c r="P16" s="175">
        <f>'Vu ĐX 2022-2023'!O16</f>
        <v>68.7</v>
      </c>
      <c r="Q16" s="171">
        <f t="shared" si="4"/>
        <v>119.47826086956522</v>
      </c>
      <c r="R16" s="160">
        <f t="shared" si="2"/>
        <v>119.06412478336222</v>
      </c>
      <c r="S16" s="197"/>
    </row>
    <row r="17" spans="1:19" ht="15.75">
      <c r="A17" s="155" t="s">
        <v>19</v>
      </c>
      <c r="B17" s="169">
        <v>50880.7</v>
      </c>
      <c r="C17" s="46">
        <v>51327</v>
      </c>
      <c r="D17" s="46">
        <f t="shared" si="12"/>
        <v>7557</v>
      </c>
      <c r="E17" s="46">
        <f>E16*E15/10</f>
        <v>0</v>
      </c>
      <c r="F17" s="46">
        <f aca="true" t="shared" si="13" ref="F17:P17">F16*F15/10</f>
        <v>0</v>
      </c>
      <c r="G17" s="46">
        <f t="shared" si="13"/>
        <v>0</v>
      </c>
      <c r="H17" s="46">
        <f t="shared" si="13"/>
        <v>0</v>
      </c>
      <c r="I17" s="46">
        <f t="shared" si="13"/>
        <v>0</v>
      </c>
      <c r="J17" s="46">
        <f t="shared" si="13"/>
        <v>0</v>
      </c>
      <c r="K17" s="46">
        <f t="shared" si="13"/>
        <v>0</v>
      </c>
      <c r="L17" s="46">
        <f t="shared" si="13"/>
        <v>0</v>
      </c>
      <c r="M17" s="46">
        <f t="shared" si="13"/>
        <v>0</v>
      </c>
      <c r="N17" s="46">
        <f t="shared" si="13"/>
        <v>0</v>
      </c>
      <c r="O17" s="46">
        <f t="shared" si="13"/>
        <v>0</v>
      </c>
      <c r="P17" s="46">
        <f t="shared" si="13"/>
        <v>7557</v>
      </c>
      <c r="Q17" s="156">
        <f t="shared" si="4"/>
        <v>14.723245075691157</v>
      </c>
      <c r="R17" s="157">
        <f t="shared" si="2"/>
        <v>14.852390002496035</v>
      </c>
      <c r="S17" s="196"/>
    </row>
    <row r="18" spans="1:19" ht="15.75">
      <c r="A18" s="165" t="s">
        <v>142</v>
      </c>
      <c r="B18" s="172">
        <v>5760.8</v>
      </c>
      <c r="C18" s="166">
        <v>5576</v>
      </c>
      <c r="D18" s="166">
        <f t="shared" si="12"/>
        <v>0</v>
      </c>
      <c r="E18" s="166">
        <f>'Vu HT'!D11</f>
        <v>0</v>
      </c>
      <c r="F18" s="166">
        <f>'Vu HT'!E11</f>
        <v>0</v>
      </c>
      <c r="G18" s="166">
        <f>'Vu HT'!F11</f>
        <v>0</v>
      </c>
      <c r="H18" s="166">
        <f>'Vu HT'!G11</f>
        <v>0</v>
      </c>
      <c r="I18" s="166">
        <f>'Vu HT'!H11</f>
        <v>0</v>
      </c>
      <c r="J18" s="166">
        <f>'Vu HT'!I11</f>
        <v>0</v>
      </c>
      <c r="K18" s="166">
        <f>'Vu HT'!J11</f>
        <v>0</v>
      </c>
      <c r="L18" s="166">
        <f>'Vu HT'!K11</f>
        <v>0</v>
      </c>
      <c r="M18" s="166">
        <f>'Vu HT'!L11</f>
        <v>0</v>
      </c>
      <c r="N18" s="166">
        <f>'Vu HT'!M11</f>
        <v>0</v>
      </c>
      <c r="O18" s="166">
        <f>'Vu HT'!N11</f>
        <v>0</v>
      </c>
      <c r="P18" s="166">
        <f>'Vu HT'!O11</f>
        <v>0</v>
      </c>
      <c r="Q18" s="167">
        <f t="shared" si="4"/>
        <v>0</v>
      </c>
      <c r="R18" s="328">
        <f t="shared" si="2"/>
        <v>0</v>
      </c>
      <c r="S18" s="197"/>
    </row>
    <row r="19" spans="1:19" ht="15.75">
      <c r="A19" s="155" t="s">
        <v>17</v>
      </c>
      <c r="B19" s="161">
        <v>5760.8</v>
      </c>
      <c r="C19" s="46">
        <f>C18</f>
        <v>5576</v>
      </c>
      <c r="D19" s="46">
        <f t="shared" si="12"/>
        <v>0</v>
      </c>
      <c r="E19" s="46">
        <f>'Vu HT'!D12</f>
        <v>0</v>
      </c>
      <c r="F19" s="46">
        <f>'Vu HT'!E12</f>
        <v>0</v>
      </c>
      <c r="G19" s="46">
        <f>'Vu HT'!F12</f>
        <v>0</v>
      </c>
      <c r="H19" s="46">
        <f>'Vu HT'!G12</f>
        <v>0</v>
      </c>
      <c r="I19" s="46">
        <f>'Vu HT'!H12</f>
        <v>0</v>
      </c>
      <c r="J19" s="46">
        <f>'Vu HT'!I12</f>
        <v>0</v>
      </c>
      <c r="K19" s="46">
        <f>'Vu HT'!J12</f>
        <v>0</v>
      </c>
      <c r="L19" s="46">
        <f>'Vu HT'!K12</f>
        <v>0</v>
      </c>
      <c r="M19" s="46">
        <f>'Vu HT'!L12</f>
        <v>0</v>
      </c>
      <c r="N19" s="46">
        <f>'Vu HT'!M12</f>
        <v>0</v>
      </c>
      <c r="O19" s="46">
        <f>'Vu HT'!N12</f>
        <v>0</v>
      </c>
      <c r="P19" s="46">
        <f>'Vu HT'!O12</f>
        <v>0</v>
      </c>
      <c r="Q19" s="156">
        <f t="shared" si="4"/>
        <v>0</v>
      </c>
      <c r="R19" s="157">
        <f t="shared" si="2"/>
        <v>0</v>
      </c>
      <c r="S19" s="196"/>
    </row>
    <row r="20" spans="1:19" ht="15.75">
      <c r="A20" s="168" t="s">
        <v>18</v>
      </c>
      <c r="B20" s="169">
        <v>56.2</v>
      </c>
      <c r="C20" s="96">
        <v>57.3</v>
      </c>
      <c r="D20" s="96" t="e">
        <f>D21/D19*10</f>
        <v>#DIV/0!</v>
      </c>
      <c r="E20" s="96">
        <f>'Vu HT'!D13</f>
        <v>0</v>
      </c>
      <c r="F20" s="96">
        <f>'Vu HT'!E13</f>
        <v>0</v>
      </c>
      <c r="G20" s="96">
        <f>'Vu HT'!F13</f>
        <v>0</v>
      </c>
      <c r="H20" s="96">
        <f>'Vu HT'!G13</f>
        <v>0</v>
      </c>
      <c r="I20" s="96">
        <f>'Vu HT'!H13</f>
        <v>0</v>
      </c>
      <c r="J20" s="96">
        <f>'Vu HT'!I13</f>
        <v>0</v>
      </c>
      <c r="K20" s="96">
        <f>'Vu HT'!J13</f>
        <v>0</v>
      </c>
      <c r="L20" s="96">
        <f>'Vu HT'!K13</f>
        <v>0</v>
      </c>
      <c r="M20" s="96">
        <f>'Vu HT'!L13</f>
        <v>0</v>
      </c>
      <c r="N20" s="96">
        <f>'Vu HT'!M13</f>
        <v>0</v>
      </c>
      <c r="O20" s="96">
        <f>'Vu HT'!N13</f>
        <v>0</v>
      </c>
      <c r="P20" s="96">
        <f>'Vu HT'!O13</f>
        <v>0</v>
      </c>
      <c r="Q20" s="171" t="e">
        <f t="shared" si="4"/>
        <v>#DIV/0!</v>
      </c>
      <c r="R20" s="160" t="e">
        <f t="shared" si="2"/>
        <v>#DIV/0!</v>
      </c>
      <c r="S20" s="197"/>
    </row>
    <row r="21" spans="1:19" ht="15.75">
      <c r="A21" s="155" t="s">
        <v>19</v>
      </c>
      <c r="B21" s="161">
        <v>32358.9</v>
      </c>
      <c r="C21" s="46">
        <v>31946</v>
      </c>
      <c r="D21" s="46">
        <f t="shared" si="12"/>
        <v>0</v>
      </c>
      <c r="E21" s="46">
        <f>E20*E19/10</f>
        <v>0</v>
      </c>
      <c r="F21" s="46">
        <f aca="true" t="shared" si="14" ref="F21:P21">F20*F19/10</f>
        <v>0</v>
      </c>
      <c r="G21" s="46">
        <f t="shared" si="14"/>
        <v>0</v>
      </c>
      <c r="H21" s="46">
        <f t="shared" si="14"/>
        <v>0</v>
      </c>
      <c r="I21" s="46">
        <f t="shared" si="14"/>
        <v>0</v>
      </c>
      <c r="J21" s="46">
        <f t="shared" si="14"/>
        <v>0</v>
      </c>
      <c r="K21" s="46">
        <f t="shared" si="14"/>
        <v>0</v>
      </c>
      <c r="L21" s="46">
        <f t="shared" si="14"/>
        <v>0</v>
      </c>
      <c r="M21" s="46">
        <f t="shared" si="14"/>
        <v>0</v>
      </c>
      <c r="N21" s="46">
        <f t="shared" si="14"/>
        <v>0</v>
      </c>
      <c r="O21" s="46">
        <f t="shared" si="14"/>
        <v>0</v>
      </c>
      <c r="P21" s="46">
        <f t="shared" si="14"/>
        <v>0</v>
      </c>
      <c r="Q21" s="156">
        <f t="shared" si="4"/>
        <v>0</v>
      </c>
      <c r="R21" s="157">
        <f t="shared" si="2"/>
        <v>0</v>
      </c>
      <c r="S21" s="196"/>
    </row>
    <row r="22" spans="1:19" ht="15.75">
      <c r="A22" s="165" t="s">
        <v>143</v>
      </c>
      <c r="B22" s="172">
        <v>11491.7</v>
      </c>
      <c r="C22" s="166">
        <v>12302</v>
      </c>
      <c r="D22" s="166">
        <f t="shared" si="12"/>
        <v>0</v>
      </c>
      <c r="E22" s="166">
        <f>'Vu Mua'!E11</f>
        <v>0</v>
      </c>
      <c r="F22" s="166">
        <f>'Vu Mua'!F11</f>
        <v>0</v>
      </c>
      <c r="G22" s="166">
        <f>'Vu Mua'!G11</f>
        <v>0</v>
      </c>
      <c r="H22" s="166">
        <f>'Vu Mua'!H11</f>
        <v>0</v>
      </c>
      <c r="I22" s="166">
        <f>'Vu Mua'!I11</f>
        <v>0</v>
      </c>
      <c r="J22" s="166">
        <f>'Vu Mua'!J11</f>
        <v>0</v>
      </c>
      <c r="K22" s="166">
        <f>'Vu Mua'!K11</f>
        <v>0</v>
      </c>
      <c r="L22" s="166">
        <f>'Vu Mua'!L11</f>
        <v>0</v>
      </c>
      <c r="M22" s="166">
        <f>'Vu Mua'!M11</f>
        <v>0</v>
      </c>
      <c r="N22" s="166">
        <f>'Vu Mua'!N11</f>
        <v>0</v>
      </c>
      <c r="O22" s="166">
        <f>'Vu Mua'!O11</f>
        <v>0</v>
      </c>
      <c r="P22" s="166">
        <f>'Vu Mua'!P11</f>
        <v>0</v>
      </c>
      <c r="Q22" s="167">
        <f t="shared" si="4"/>
        <v>0</v>
      </c>
      <c r="R22" s="328">
        <f t="shared" si="2"/>
        <v>0</v>
      </c>
      <c r="S22" s="196"/>
    </row>
    <row r="23" spans="1:19" ht="15.75">
      <c r="A23" s="168" t="s">
        <v>17</v>
      </c>
      <c r="B23" s="169"/>
      <c r="C23" s="96">
        <f>C22</f>
        <v>12302</v>
      </c>
      <c r="D23" s="96">
        <f t="shared" si="12"/>
        <v>0</v>
      </c>
      <c r="E23" s="96">
        <f>'Vu Mua'!E12</f>
        <v>0</v>
      </c>
      <c r="F23" s="96">
        <f>'Vu Mua'!F12</f>
        <v>0</v>
      </c>
      <c r="G23" s="96">
        <f>'Vu Mua'!G12</f>
        <v>0</v>
      </c>
      <c r="H23" s="96">
        <f>'Vu Mua'!H12</f>
        <v>0</v>
      </c>
      <c r="I23" s="96">
        <f>'Vu Mua'!I12</f>
        <v>0</v>
      </c>
      <c r="J23" s="96">
        <f>'Vu Mua'!J12</f>
        <v>0</v>
      </c>
      <c r="K23" s="96">
        <f>'Vu Mua'!K12</f>
        <v>0</v>
      </c>
      <c r="L23" s="96">
        <f>'Vu Mua'!L12</f>
        <v>0</v>
      </c>
      <c r="M23" s="96">
        <f>'Vu Mua'!M12</f>
        <v>0</v>
      </c>
      <c r="N23" s="96">
        <f>'Vu Mua'!N12</f>
        <v>0</v>
      </c>
      <c r="O23" s="96">
        <f>'Vu Mua'!O12</f>
        <v>0</v>
      </c>
      <c r="P23" s="96">
        <f>'Vu Mua'!P12</f>
        <v>0</v>
      </c>
      <c r="Q23" s="171">
        <f t="shared" si="4"/>
        <v>0</v>
      </c>
      <c r="R23" s="160" t="e">
        <f t="shared" si="2"/>
        <v>#DIV/0!</v>
      </c>
      <c r="S23" s="197"/>
    </row>
    <row r="24" spans="1:19" ht="15.75">
      <c r="A24" s="155" t="s">
        <v>18</v>
      </c>
      <c r="B24" s="161"/>
      <c r="C24" s="46">
        <v>53.6</v>
      </c>
      <c r="D24" s="46" t="e">
        <f>D25/D23*10</f>
        <v>#DIV/0!</v>
      </c>
      <c r="E24" s="46">
        <f>'Vu Mua'!E13</f>
        <v>0</v>
      </c>
      <c r="F24" s="46">
        <f>'Vu Mua'!F13</f>
        <v>0</v>
      </c>
      <c r="G24" s="46">
        <f>'Vu Mua'!G13</f>
        <v>0</v>
      </c>
      <c r="H24" s="46">
        <f>'Vu Mua'!H13</f>
        <v>0</v>
      </c>
      <c r="I24" s="46">
        <f>'Vu Mua'!I13</f>
        <v>0</v>
      </c>
      <c r="J24" s="46">
        <f>'Vu Mua'!J13</f>
        <v>0</v>
      </c>
      <c r="K24" s="46">
        <f>'Vu Mua'!K13</f>
        <v>0</v>
      </c>
      <c r="L24" s="46">
        <f>'Vu Mua'!L13</f>
        <v>0</v>
      </c>
      <c r="M24" s="46">
        <f>'Vu Mua'!M13</f>
        <v>0</v>
      </c>
      <c r="N24" s="46">
        <f>'Vu Mua'!N13</f>
        <v>0</v>
      </c>
      <c r="O24" s="46">
        <f>'Vu Mua'!O13</f>
        <v>0</v>
      </c>
      <c r="P24" s="46">
        <f>'Vu Mua'!P13</f>
        <v>0</v>
      </c>
      <c r="Q24" s="156" t="e">
        <f t="shared" si="4"/>
        <v>#DIV/0!</v>
      </c>
      <c r="R24" s="157" t="e">
        <f t="shared" si="2"/>
        <v>#DIV/0!</v>
      </c>
      <c r="S24" s="196"/>
    </row>
    <row r="25" spans="1:19" ht="15.75">
      <c r="A25" s="168" t="s">
        <v>19</v>
      </c>
      <c r="B25" s="169"/>
      <c r="C25" s="96">
        <v>65952</v>
      </c>
      <c r="D25" s="96">
        <f t="shared" si="12"/>
        <v>0</v>
      </c>
      <c r="E25" s="96">
        <f>E24*E23/10</f>
        <v>0</v>
      </c>
      <c r="F25" s="96">
        <f aca="true" t="shared" si="15" ref="F25:P25">F24*F23/10</f>
        <v>0</v>
      </c>
      <c r="G25" s="96">
        <f t="shared" si="15"/>
        <v>0</v>
      </c>
      <c r="H25" s="96">
        <f t="shared" si="15"/>
        <v>0</v>
      </c>
      <c r="I25" s="96">
        <f t="shared" si="15"/>
        <v>0</v>
      </c>
      <c r="J25" s="96">
        <f t="shared" si="15"/>
        <v>0</v>
      </c>
      <c r="K25" s="96">
        <f t="shared" si="15"/>
        <v>0</v>
      </c>
      <c r="L25" s="96">
        <f t="shared" si="15"/>
        <v>0</v>
      </c>
      <c r="M25" s="96">
        <f t="shared" si="15"/>
        <v>0</v>
      </c>
      <c r="N25" s="96">
        <f t="shared" si="15"/>
        <v>0</v>
      </c>
      <c r="O25" s="96">
        <f t="shared" si="15"/>
        <v>0</v>
      </c>
      <c r="P25" s="96">
        <f t="shared" si="15"/>
        <v>0</v>
      </c>
      <c r="Q25" s="171">
        <f t="shared" si="4"/>
        <v>0</v>
      </c>
      <c r="R25" s="160" t="e">
        <f t="shared" si="2"/>
        <v>#DIV/0!</v>
      </c>
      <c r="S25" s="197"/>
    </row>
    <row r="26" spans="1:19" ht="15.75" hidden="1">
      <c r="A26" s="155" t="s">
        <v>144</v>
      </c>
      <c r="B26" s="161">
        <v>0</v>
      </c>
      <c r="C26" s="46">
        <v>0</v>
      </c>
      <c r="D26" s="46">
        <f t="shared" si="12"/>
        <v>0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156" t="e">
        <f t="shared" si="4"/>
        <v>#DIV/0!</v>
      </c>
      <c r="R26" s="157" t="e">
        <f t="shared" si="2"/>
        <v>#DIV/0!</v>
      </c>
      <c r="S26" s="196"/>
    </row>
    <row r="27" spans="1:19" ht="15.75" hidden="1">
      <c r="A27" s="168" t="s">
        <v>17</v>
      </c>
      <c r="B27" s="169">
        <v>0</v>
      </c>
      <c r="C27" s="96"/>
      <c r="D27" s="96">
        <f t="shared" si="12"/>
        <v>0</v>
      </c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171" t="e">
        <f t="shared" si="4"/>
        <v>#DIV/0!</v>
      </c>
      <c r="R27" s="160" t="e">
        <f t="shared" si="2"/>
        <v>#DIV/0!</v>
      </c>
      <c r="S27" s="197"/>
    </row>
    <row r="28" spans="1:19" ht="15.75" hidden="1">
      <c r="A28" s="155" t="s">
        <v>18</v>
      </c>
      <c r="B28" s="161">
        <v>0</v>
      </c>
      <c r="C28" s="46"/>
      <c r="D28" s="46" t="e">
        <f>D29/D27*10</f>
        <v>#DIV/0!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156" t="e">
        <f t="shared" si="4"/>
        <v>#DIV/0!</v>
      </c>
      <c r="R28" s="157" t="e">
        <f t="shared" si="2"/>
        <v>#DIV/0!</v>
      </c>
      <c r="S28" s="196"/>
    </row>
    <row r="29" spans="1:19" ht="15.75" hidden="1">
      <c r="A29" s="168" t="s">
        <v>19</v>
      </c>
      <c r="B29" s="169">
        <v>0</v>
      </c>
      <c r="C29" s="96"/>
      <c r="D29" s="96">
        <f t="shared" si="12"/>
        <v>0</v>
      </c>
      <c r="E29" s="96">
        <f>E28*E27/10</f>
        <v>0</v>
      </c>
      <c r="F29" s="96">
        <f aca="true" t="shared" si="16" ref="F29:P29">F28*F27/10</f>
        <v>0</v>
      </c>
      <c r="G29" s="96">
        <f t="shared" si="16"/>
        <v>0</v>
      </c>
      <c r="H29" s="96">
        <f t="shared" si="16"/>
        <v>0</v>
      </c>
      <c r="I29" s="96">
        <f t="shared" si="16"/>
        <v>0</v>
      </c>
      <c r="J29" s="96">
        <f t="shared" si="16"/>
        <v>0</v>
      </c>
      <c r="K29" s="96">
        <f t="shared" si="16"/>
        <v>0</v>
      </c>
      <c r="L29" s="96">
        <f t="shared" si="16"/>
        <v>0</v>
      </c>
      <c r="M29" s="96">
        <f t="shared" si="16"/>
        <v>0</v>
      </c>
      <c r="N29" s="96">
        <f t="shared" si="16"/>
        <v>0</v>
      </c>
      <c r="O29" s="96">
        <f t="shared" si="16"/>
        <v>0</v>
      </c>
      <c r="P29" s="96">
        <f t="shared" si="16"/>
        <v>0</v>
      </c>
      <c r="Q29" s="171" t="e">
        <f t="shared" si="4"/>
        <v>#DIV/0!</v>
      </c>
      <c r="R29" s="160" t="e">
        <f t="shared" si="2"/>
        <v>#DIV/0!</v>
      </c>
      <c r="S29" s="197"/>
    </row>
    <row r="30" spans="1:19" ht="15.75">
      <c r="A30" s="158" t="s">
        <v>21</v>
      </c>
      <c r="B30" s="23">
        <f>B34+B38+B42</f>
        <v>6497.099999999999</v>
      </c>
      <c r="C30" s="23">
        <f>C34+C38+C42</f>
        <v>6703</v>
      </c>
      <c r="D30" s="23">
        <f t="shared" si="12"/>
        <v>1346</v>
      </c>
      <c r="E30" s="23">
        <f aca="true" t="shared" si="17" ref="E30:P31">E34+E38+E42</f>
        <v>15</v>
      </c>
      <c r="F30" s="23">
        <f t="shared" si="17"/>
        <v>0</v>
      </c>
      <c r="G30" s="23">
        <f t="shared" si="17"/>
        <v>95</v>
      </c>
      <c r="H30" s="23">
        <f t="shared" si="17"/>
        <v>80</v>
      </c>
      <c r="I30" s="23">
        <f t="shared" si="17"/>
        <v>12</v>
      </c>
      <c r="J30" s="23">
        <f t="shared" si="17"/>
        <v>26</v>
      </c>
      <c r="K30" s="23">
        <f t="shared" si="17"/>
        <v>120</v>
      </c>
      <c r="L30" s="23">
        <f t="shared" si="17"/>
        <v>0</v>
      </c>
      <c r="M30" s="23">
        <f t="shared" si="17"/>
        <v>31</v>
      </c>
      <c r="N30" s="23">
        <f t="shared" si="17"/>
        <v>8</v>
      </c>
      <c r="O30" s="23">
        <f t="shared" si="17"/>
        <v>529</v>
      </c>
      <c r="P30" s="23">
        <f t="shared" si="17"/>
        <v>430</v>
      </c>
      <c r="Q30" s="159">
        <f t="shared" si="4"/>
        <v>20.080560942861407</v>
      </c>
      <c r="R30" s="327">
        <f t="shared" si="2"/>
        <v>20.716935248033742</v>
      </c>
      <c r="S30" s="196"/>
    </row>
    <row r="31" spans="1:19" ht="15.75">
      <c r="A31" s="158" t="s">
        <v>17</v>
      </c>
      <c r="B31" s="23">
        <f>B35+B39+B43</f>
        <v>5322.799999999999</v>
      </c>
      <c r="C31" s="23">
        <f>C35+C39+C43</f>
        <v>6703</v>
      </c>
      <c r="D31" s="23">
        <f t="shared" si="12"/>
        <v>145</v>
      </c>
      <c r="E31" s="23">
        <f t="shared" si="17"/>
        <v>0</v>
      </c>
      <c r="F31" s="23">
        <f t="shared" si="17"/>
        <v>0</v>
      </c>
      <c r="G31" s="23">
        <f t="shared" si="17"/>
        <v>70</v>
      </c>
      <c r="H31" s="23">
        <f t="shared" si="17"/>
        <v>0</v>
      </c>
      <c r="I31" s="23">
        <f t="shared" si="17"/>
        <v>0</v>
      </c>
      <c r="J31" s="23">
        <f t="shared" si="17"/>
        <v>0</v>
      </c>
      <c r="K31" s="23">
        <f t="shared" si="17"/>
        <v>0</v>
      </c>
      <c r="L31" s="23">
        <f t="shared" si="17"/>
        <v>0</v>
      </c>
      <c r="M31" s="23">
        <f t="shared" si="17"/>
        <v>0</v>
      </c>
      <c r="N31" s="23">
        <f t="shared" si="17"/>
        <v>0</v>
      </c>
      <c r="O31" s="23">
        <f t="shared" si="17"/>
        <v>0</v>
      </c>
      <c r="P31" s="23">
        <f t="shared" si="17"/>
        <v>75</v>
      </c>
      <c r="Q31" s="159">
        <f t="shared" si="4"/>
        <v>2.163210502759958</v>
      </c>
      <c r="R31" s="327">
        <f t="shared" si="2"/>
        <v>2.7241301570601943</v>
      </c>
      <c r="S31" s="196"/>
    </row>
    <row r="32" spans="1:19" ht="15.75">
      <c r="A32" s="158" t="s">
        <v>18</v>
      </c>
      <c r="B32" s="23">
        <f aca="true" t="shared" si="18" ref="B32:P32">B33/B31*10</f>
        <v>58.67550913053282</v>
      </c>
      <c r="C32" s="23">
        <f t="shared" si="18"/>
        <v>58.45964493510368</v>
      </c>
      <c r="D32" s="23">
        <f t="shared" si="18"/>
        <v>61.49310344827586</v>
      </c>
      <c r="E32" s="23" t="e">
        <f t="shared" si="18"/>
        <v>#DIV/0!</v>
      </c>
      <c r="F32" s="23" t="e">
        <f t="shared" si="18"/>
        <v>#DIV/0!</v>
      </c>
      <c r="G32" s="23">
        <f t="shared" si="18"/>
        <v>49.699999999999996</v>
      </c>
      <c r="H32" s="23" t="e">
        <f t="shared" si="18"/>
        <v>#DIV/0!</v>
      </c>
      <c r="I32" s="23" t="e">
        <f t="shared" si="18"/>
        <v>#DIV/0!</v>
      </c>
      <c r="J32" s="23" t="e">
        <f t="shared" si="18"/>
        <v>#DIV/0!</v>
      </c>
      <c r="K32" s="23" t="e">
        <f t="shared" si="18"/>
        <v>#DIV/0!</v>
      </c>
      <c r="L32" s="23" t="e">
        <f t="shared" si="18"/>
        <v>#DIV/0!</v>
      </c>
      <c r="M32" s="23" t="e">
        <f t="shared" si="18"/>
        <v>#DIV/0!</v>
      </c>
      <c r="N32" s="23" t="e">
        <f t="shared" si="18"/>
        <v>#DIV/0!</v>
      </c>
      <c r="O32" s="23" t="e">
        <f t="shared" si="18"/>
        <v>#DIV/0!</v>
      </c>
      <c r="P32" s="23">
        <f t="shared" si="18"/>
        <v>72.5</v>
      </c>
      <c r="Q32" s="159">
        <f t="shared" si="4"/>
        <v>105.18897868185759</v>
      </c>
      <c r="R32" s="327">
        <f t="shared" si="2"/>
        <v>104.8019938122307</v>
      </c>
      <c r="S32" s="196"/>
    </row>
    <row r="33" spans="1:19" ht="15.75">
      <c r="A33" s="158" t="s">
        <v>19</v>
      </c>
      <c r="B33" s="23">
        <f>B37+B41+B45</f>
        <v>31231.800000000003</v>
      </c>
      <c r="C33" s="23">
        <f>C37+C41+C45</f>
        <v>39185.5</v>
      </c>
      <c r="D33" s="23">
        <f t="shared" si="12"/>
        <v>891.65</v>
      </c>
      <c r="E33" s="23">
        <f aca="true" t="shared" si="19" ref="E33:P33">E37+E41+E45</f>
        <v>0</v>
      </c>
      <c r="F33" s="23">
        <f t="shared" si="19"/>
        <v>0</v>
      </c>
      <c r="G33" s="23">
        <f t="shared" si="19"/>
        <v>347.9</v>
      </c>
      <c r="H33" s="23">
        <f t="shared" si="19"/>
        <v>0</v>
      </c>
      <c r="I33" s="23">
        <f t="shared" si="19"/>
        <v>0</v>
      </c>
      <c r="J33" s="23">
        <f t="shared" si="19"/>
        <v>0</v>
      </c>
      <c r="K33" s="23">
        <f t="shared" si="19"/>
        <v>0</v>
      </c>
      <c r="L33" s="23">
        <f t="shared" si="19"/>
        <v>0</v>
      </c>
      <c r="M33" s="23">
        <f t="shared" si="19"/>
        <v>0</v>
      </c>
      <c r="N33" s="23">
        <f t="shared" si="19"/>
        <v>0</v>
      </c>
      <c r="O33" s="23">
        <f t="shared" si="19"/>
        <v>0</v>
      </c>
      <c r="P33" s="23">
        <f t="shared" si="19"/>
        <v>543.75</v>
      </c>
      <c r="Q33" s="159">
        <f t="shared" si="4"/>
        <v>2.275459034591877</v>
      </c>
      <c r="R33" s="327">
        <f t="shared" si="2"/>
        <v>2.854942718639335</v>
      </c>
      <c r="S33" s="196"/>
    </row>
    <row r="34" spans="1:19" ht="15.75">
      <c r="A34" s="165" t="s">
        <v>145</v>
      </c>
      <c r="B34" s="172">
        <v>1803.6</v>
      </c>
      <c r="C34" s="166">
        <f>'Vu ĐX 2022-2023'!B19</f>
        <v>1727</v>
      </c>
      <c r="D34" s="166">
        <f t="shared" si="12"/>
        <v>1346</v>
      </c>
      <c r="E34" s="173">
        <f>'Vu ĐX 2022-2023'!D19</f>
        <v>15</v>
      </c>
      <c r="F34" s="173">
        <f>'Vu ĐX 2022-2023'!E19</f>
        <v>0</v>
      </c>
      <c r="G34" s="173">
        <f>'Vu ĐX 2022-2023'!F19</f>
        <v>95</v>
      </c>
      <c r="H34" s="173">
        <f>'Vu ĐX 2022-2023'!G19</f>
        <v>80</v>
      </c>
      <c r="I34" s="173">
        <f>'Vu ĐX 2022-2023'!H19</f>
        <v>12</v>
      </c>
      <c r="J34" s="173">
        <f>'Vu ĐX 2022-2023'!I19</f>
        <v>26</v>
      </c>
      <c r="K34" s="173">
        <f>'Vu ĐX 2022-2023'!J19</f>
        <v>120</v>
      </c>
      <c r="L34" s="173">
        <f>'Vu ĐX 2022-2023'!K19</f>
        <v>0</v>
      </c>
      <c r="M34" s="173">
        <f>'Vu ĐX 2022-2023'!L19</f>
        <v>31</v>
      </c>
      <c r="N34" s="173">
        <f>'Vu ĐX 2022-2023'!M19</f>
        <v>8</v>
      </c>
      <c r="O34" s="173">
        <f>'Vu ĐX 2022-2023'!N19</f>
        <v>529</v>
      </c>
      <c r="P34" s="173">
        <f>'Vu ĐX 2022-2023'!O19</f>
        <v>430</v>
      </c>
      <c r="Q34" s="167">
        <f t="shared" si="4"/>
        <v>77.93862188766647</v>
      </c>
      <c r="R34" s="328">
        <f t="shared" si="2"/>
        <v>74.62852073630518</v>
      </c>
      <c r="S34" s="197"/>
    </row>
    <row r="35" spans="1:19" ht="15.75">
      <c r="A35" s="155" t="s">
        <v>17</v>
      </c>
      <c r="B35" s="161">
        <v>1803.6</v>
      </c>
      <c r="C35" s="46">
        <f>C34</f>
        <v>1727</v>
      </c>
      <c r="D35" s="46">
        <f t="shared" si="12"/>
        <v>145</v>
      </c>
      <c r="E35" s="162">
        <f>'Vu ĐX 2022-2023'!D20</f>
        <v>0</v>
      </c>
      <c r="F35" s="162">
        <f>'Vu ĐX 2022-2023'!E20</f>
        <v>0</v>
      </c>
      <c r="G35" s="162">
        <f>'Vu ĐX 2022-2023'!F20</f>
        <v>70</v>
      </c>
      <c r="H35" s="162">
        <f>'Vu ĐX 2022-2023'!G20</f>
        <v>0</v>
      </c>
      <c r="I35" s="162">
        <f>'Vu ĐX 2022-2023'!H20</f>
        <v>0</v>
      </c>
      <c r="J35" s="162">
        <f>'Vu ĐX 2022-2023'!I20</f>
        <v>0</v>
      </c>
      <c r="K35" s="162">
        <f>'Vu ĐX 2022-2023'!J20</f>
        <v>0</v>
      </c>
      <c r="L35" s="162">
        <f>'Vu ĐX 2022-2023'!K20</f>
        <v>0</v>
      </c>
      <c r="M35" s="162">
        <f>'Vu ĐX 2022-2023'!L20</f>
        <v>0</v>
      </c>
      <c r="N35" s="162">
        <f>'Vu ĐX 2022-2023'!M20</f>
        <v>0</v>
      </c>
      <c r="O35" s="162">
        <f>'Vu ĐX 2022-2023'!N20</f>
        <v>0</v>
      </c>
      <c r="P35" s="162">
        <f>'Vu ĐX 2022-2023'!O20</f>
        <v>75</v>
      </c>
      <c r="Q35" s="156">
        <f t="shared" si="4"/>
        <v>8.396062536189925</v>
      </c>
      <c r="R35" s="157">
        <f t="shared" si="2"/>
        <v>8.039476602350854</v>
      </c>
      <c r="S35" s="196"/>
    </row>
    <row r="36" spans="1:19" ht="15.75">
      <c r="A36" s="168" t="s">
        <v>18</v>
      </c>
      <c r="B36" s="169">
        <v>70.2</v>
      </c>
      <c r="C36" s="96">
        <f>'Vu ĐX 2022-2023'!B21</f>
        <v>67</v>
      </c>
      <c r="D36" s="96">
        <f>D37/D35*10</f>
        <v>61.49310344827586</v>
      </c>
      <c r="E36" s="170">
        <f>'Vu ĐX 2022-2023'!D21</f>
        <v>0</v>
      </c>
      <c r="F36" s="170">
        <f>'Vu ĐX 2022-2023'!E21</f>
        <v>0</v>
      </c>
      <c r="G36" s="170">
        <f>'Vu ĐX 2022-2023'!F21</f>
        <v>49.7</v>
      </c>
      <c r="H36" s="170">
        <f>'Vu ĐX 2022-2023'!G21</f>
        <v>0</v>
      </c>
      <c r="I36" s="170">
        <f>'Vu ĐX 2022-2023'!H21</f>
        <v>0</v>
      </c>
      <c r="J36" s="170">
        <f>'Vu ĐX 2022-2023'!I21</f>
        <v>0</v>
      </c>
      <c r="K36" s="170">
        <f>'Vu ĐX 2022-2023'!J21</f>
        <v>0</v>
      </c>
      <c r="L36" s="170">
        <f>'Vu ĐX 2022-2023'!K21</f>
        <v>0</v>
      </c>
      <c r="M36" s="170">
        <f>'Vu ĐX 2022-2023'!L21</f>
        <v>0</v>
      </c>
      <c r="N36" s="170">
        <f>'Vu ĐX 2022-2023'!M21</f>
        <v>0</v>
      </c>
      <c r="O36" s="170">
        <f>'Vu ĐX 2022-2023'!N21</f>
        <v>0</v>
      </c>
      <c r="P36" s="170">
        <f>'Vu ĐX 2022-2023'!O21</f>
        <v>72.5</v>
      </c>
      <c r="Q36" s="171">
        <f t="shared" si="4"/>
        <v>91.78075141533711</v>
      </c>
      <c r="R36" s="160">
        <f t="shared" si="2"/>
        <v>87.59701345908242</v>
      </c>
      <c r="S36" s="197"/>
    </row>
    <row r="37" spans="1:19" ht="15.75">
      <c r="A37" s="155" t="s">
        <v>19</v>
      </c>
      <c r="B37" s="161">
        <v>12653.4</v>
      </c>
      <c r="C37" s="46">
        <f>'Vu ĐX 2022-2023'!B22</f>
        <v>11578.8</v>
      </c>
      <c r="D37" s="46">
        <f t="shared" si="12"/>
        <v>891.65</v>
      </c>
      <c r="E37" s="46">
        <f>E36*E35/10</f>
        <v>0</v>
      </c>
      <c r="F37" s="46">
        <f aca="true" t="shared" si="20" ref="F37:P37">F36*F35/10</f>
        <v>0</v>
      </c>
      <c r="G37" s="46">
        <f t="shared" si="20"/>
        <v>347.9</v>
      </c>
      <c r="H37" s="46">
        <f t="shared" si="20"/>
        <v>0</v>
      </c>
      <c r="I37" s="46">
        <f t="shared" si="20"/>
        <v>0</v>
      </c>
      <c r="J37" s="46">
        <f t="shared" si="20"/>
        <v>0</v>
      </c>
      <c r="K37" s="46">
        <f t="shared" si="20"/>
        <v>0</v>
      </c>
      <c r="L37" s="46">
        <f t="shared" si="20"/>
        <v>0</v>
      </c>
      <c r="M37" s="46">
        <f t="shared" si="20"/>
        <v>0</v>
      </c>
      <c r="N37" s="46">
        <f t="shared" si="20"/>
        <v>0</v>
      </c>
      <c r="O37" s="46">
        <f t="shared" si="20"/>
        <v>0</v>
      </c>
      <c r="P37" s="46">
        <f t="shared" si="20"/>
        <v>543.75</v>
      </c>
      <c r="Q37" s="156">
        <f t="shared" si="4"/>
        <v>7.700711645420942</v>
      </c>
      <c r="R37" s="157">
        <f aca="true" t="shared" si="21" ref="R37:R68">D37/B37*100</f>
        <v>7.04672262000727</v>
      </c>
      <c r="S37" s="196"/>
    </row>
    <row r="38" spans="1:19" ht="15.75">
      <c r="A38" s="165" t="s">
        <v>146</v>
      </c>
      <c r="B38" s="172">
        <v>3519.2</v>
      </c>
      <c r="C38" s="329">
        <v>2962</v>
      </c>
      <c r="D38" s="166">
        <f t="shared" si="12"/>
        <v>0</v>
      </c>
      <c r="E38" s="166">
        <f>'Vu HT'!D16</f>
        <v>0</v>
      </c>
      <c r="F38" s="166">
        <f>'Vu HT'!E16</f>
        <v>0</v>
      </c>
      <c r="G38" s="166">
        <f>'Vu HT'!F16</f>
        <v>0</v>
      </c>
      <c r="H38" s="166">
        <f>'Vu HT'!G16</f>
        <v>0</v>
      </c>
      <c r="I38" s="166">
        <f>'Vu HT'!H16</f>
        <v>0</v>
      </c>
      <c r="J38" s="166">
        <f>'Vu HT'!I16</f>
        <v>0</v>
      </c>
      <c r="K38" s="166">
        <f>'Vu HT'!J16</f>
        <v>0</v>
      </c>
      <c r="L38" s="166">
        <f>'Vu HT'!K16</f>
        <v>0</v>
      </c>
      <c r="M38" s="166">
        <f>'Vu HT'!L16</f>
        <v>0</v>
      </c>
      <c r="N38" s="166">
        <f>'Vu HT'!M16</f>
        <v>0</v>
      </c>
      <c r="O38" s="166">
        <f>'Vu HT'!N16</f>
        <v>0</v>
      </c>
      <c r="P38" s="166">
        <f>'Vu HT'!O16</f>
        <v>0</v>
      </c>
      <c r="Q38" s="167">
        <f t="shared" si="4"/>
        <v>0</v>
      </c>
      <c r="R38" s="328">
        <f t="shared" si="21"/>
        <v>0</v>
      </c>
      <c r="S38" s="197"/>
    </row>
    <row r="39" spans="1:19" ht="15.75">
      <c r="A39" s="155" t="s">
        <v>17</v>
      </c>
      <c r="B39" s="161">
        <v>3519.2</v>
      </c>
      <c r="C39" s="233">
        <f>C38</f>
        <v>2962</v>
      </c>
      <c r="D39" s="46">
        <f t="shared" si="12"/>
        <v>0</v>
      </c>
      <c r="E39" s="46">
        <f>'Vu HT'!D17</f>
        <v>0</v>
      </c>
      <c r="F39" s="46">
        <f>'Vu HT'!E17</f>
        <v>0</v>
      </c>
      <c r="G39" s="46">
        <f>'Vu HT'!F17</f>
        <v>0</v>
      </c>
      <c r="H39" s="46">
        <f>'Vu HT'!G17</f>
        <v>0</v>
      </c>
      <c r="I39" s="46">
        <f>'Vu HT'!H17</f>
        <v>0</v>
      </c>
      <c r="J39" s="46">
        <f>'Vu HT'!I17</f>
        <v>0</v>
      </c>
      <c r="K39" s="46">
        <f>'Vu HT'!J17</f>
        <v>0</v>
      </c>
      <c r="L39" s="46">
        <f>'Vu HT'!K17</f>
        <v>0</v>
      </c>
      <c r="M39" s="46">
        <f>'Vu HT'!L17</f>
        <v>0</v>
      </c>
      <c r="N39" s="46">
        <f>'Vu HT'!M17</f>
        <v>0</v>
      </c>
      <c r="O39" s="46">
        <f>'Vu HT'!N17</f>
        <v>0</v>
      </c>
      <c r="P39" s="46">
        <f>'Vu HT'!O17</f>
        <v>0</v>
      </c>
      <c r="Q39" s="156">
        <f t="shared" si="4"/>
        <v>0</v>
      </c>
      <c r="R39" s="157">
        <f t="shared" si="21"/>
        <v>0</v>
      </c>
      <c r="S39" s="196"/>
    </row>
    <row r="40" spans="1:19" ht="15.75">
      <c r="A40" s="168" t="s">
        <v>18</v>
      </c>
      <c r="B40" s="169">
        <v>52.8</v>
      </c>
      <c r="C40" s="96">
        <v>56.2</v>
      </c>
      <c r="D40" s="96" t="e">
        <f>D41/D39*10</f>
        <v>#DIV/0!</v>
      </c>
      <c r="E40" s="96">
        <f>'Vu HT'!D18</f>
        <v>0</v>
      </c>
      <c r="F40" s="96">
        <f>'Vu HT'!E18</f>
        <v>0</v>
      </c>
      <c r="G40" s="96">
        <f>'Vu HT'!F18</f>
        <v>0</v>
      </c>
      <c r="H40" s="96">
        <f>'Vu HT'!G18</f>
        <v>0</v>
      </c>
      <c r="I40" s="96">
        <f>'Vu HT'!H18</f>
        <v>0</v>
      </c>
      <c r="J40" s="96">
        <f>'Vu HT'!I18</f>
        <v>0</v>
      </c>
      <c r="K40" s="96">
        <f>'Vu HT'!J18</f>
        <v>0</v>
      </c>
      <c r="L40" s="96">
        <f>'Vu HT'!K18</f>
        <v>0</v>
      </c>
      <c r="M40" s="96">
        <f>'Vu HT'!L18</f>
        <v>0</v>
      </c>
      <c r="N40" s="96">
        <f>'Vu HT'!M18</f>
        <v>0</v>
      </c>
      <c r="O40" s="96">
        <f>'Vu HT'!N18</f>
        <v>0</v>
      </c>
      <c r="P40" s="96">
        <f>'Vu HT'!O18</f>
        <v>0</v>
      </c>
      <c r="Q40" s="171" t="e">
        <f t="shared" si="4"/>
        <v>#DIV/0!</v>
      </c>
      <c r="R40" s="160" t="e">
        <f t="shared" si="21"/>
        <v>#DIV/0!</v>
      </c>
      <c r="S40" s="197"/>
    </row>
    <row r="41" spans="1:19" ht="15.75">
      <c r="A41" s="155" t="s">
        <v>19</v>
      </c>
      <c r="B41" s="161">
        <v>18578.4</v>
      </c>
      <c r="C41" s="46">
        <v>16658.4</v>
      </c>
      <c r="D41" s="46">
        <f t="shared" si="12"/>
        <v>0</v>
      </c>
      <c r="E41" s="46">
        <f>E40*E39/10</f>
        <v>0</v>
      </c>
      <c r="F41" s="46">
        <f aca="true" t="shared" si="22" ref="F41:P41">F40*F39/10</f>
        <v>0</v>
      </c>
      <c r="G41" s="46">
        <f t="shared" si="22"/>
        <v>0</v>
      </c>
      <c r="H41" s="46">
        <f t="shared" si="22"/>
        <v>0</v>
      </c>
      <c r="I41" s="46">
        <f t="shared" si="22"/>
        <v>0</v>
      </c>
      <c r="J41" s="46">
        <f t="shared" si="22"/>
        <v>0</v>
      </c>
      <c r="K41" s="46">
        <f t="shared" si="22"/>
        <v>0</v>
      </c>
      <c r="L41" s="46">
        <f t="shared" si="22"/>
        <v>0</v>
      </c>
      <c r="M41" s="46">
        <f t="shared" si="22"/>
        <v>0</v>
      </c>
      <c r="N41" s="46">
        <f t="shared" si="22"/>
        <v>0</v>
      </c>
      <c r="O41" s="46">
        <f t="shared" si="22"/>
        <v>0</v>
      </c>
      <c r="P41" s="46">
        <f t="shared" si="22"/>
        <v>0</v>
      </c>
      <c r="Q41" s="156">
        <f t="shared" si="4"/>
        <v>0</v>
      </c>
      <c r="R41" s="157">
        <f t="shared" si="21"/>
        <v>0</v>
      </c>
      <c r="S41" s="196"/>
    </row>
    <row r="42" spans="1:19" ht="15.75">
      <c r="A42" s="165" t="s">
        <v>147</v>
      </c>
      <c r="B42" s="172">
        <v>1174.3</v>
      </c>
      <c r="C42" s="166">
        <v>2014</v>
      </c>
      <c r="D42" s="166">
        <f t="shared" si="12"/>
        <v>0</v>
      </c>
      <c r="E42" s="166">
        <f>'Vu Mua'!E16</f>
        <v>0</v>
      </c>
      <c r="F42" s="166">
        <f>'Vu Mua'!F16</f>
        <v>0</v>
      </c>
      <c r="G42" s="166">
        <f>'Vu Mua'!G16</f>
        <v>0</v>
      </c>
      <c r="H42" s="166">
        <f>'Vu Mua'!H16</f>
        <v>0</v>
      </c>
      <c r="I42" s="166">
        <f>'Vu Mua'!I16</f>
        <v>0</v>
      </c>
      <c r="J42" s="166">
        <f>'Vu Mua'!J16</f>
        <v>0</v>
      </c>
      <c r="K42" s="166">
        <f>'Vu Mua'!K16</f>
        <v>0</v>
      </c>
      <c r="L42" s="166">
        <f>'Vu Mua'!L16</f>
        <v>0</v>
      </c>
      <c r="M42" s="166">
        <f>'Vu Mua'!M16</f>
        <v>0</v>
      </c>
      <c r="N42" s="166">
        <f>'Vu Mua'!N16</f>
        <v>0</v>
      </c>
      <c r="O42" s="166">
        <f>'Vu Mua'!O16</f>
        <v>0</v>
      </c>
      <c r="P42" s="166">
        <f>'Vu Mua'!P16</f>
        <v>0</v>
      </c>
      <c r="Q42" s="167">
        <f t="shared" si="4"/>
        <v>0</v>
      </c>
      <c r="R42" s="328">
        <f t="shared" si="21"/>
        <v>0</v>
      </c>
      <c r="S42" s="197"/>
    </row>
    <row r="43" spans="1:19" ht="15.75">
      <c r="A43" s="155" t="s">
        <v>17</v>
      </c>
      <c r="B43" s="161"/>
      <c r="C43" s="46">
        <f>C42</f>
        <v>2014</v>
      </c>
      <c r="D43" s="46">
        <f t="shared" si="12"/>
        <v>0</v>
      </c>
      <c r="E43" s="46">
        <f>'Vu Mua'!E17</f>
        <v>0</v>
      </c>
      <c r="F43" s="46">
        <f>'Vu Mua'!F17</f>
        <v>0</v>
      </c>
      <c r="G43" s="46">
        <f>'Vu Mua'!G17</f>
        <v>0</v>
      </c>
      <c r="H43" s="46">
        <f>'Vu Mua'!H17</f>
        <v>0</v>
      </c>
      <c r="I43" s="46">
        <f>'Vu Mua'!I17</f>
        <v>0</v>
      </c>
      <c r="J43" s="46">
        <f>'Vu Mua'!J17</f>
        <v>0</v>
      </c>
      <c r="K43" s="46">
        <f>'Vu Mua'!K17</f>
        <v>0</v>
      </c>
      <c r="L43" s="46">
        <f>'Vu Mua'!L17</f>
        <v>0</v>
      </c>
      <c r="M43" s="46">
        <f>'Vu Mua'!M17</f>
        <v>0</v>
      </c>
      <c r="N43" s="46">
        <f>'Vu Mua'!N17</f>
        <v>0</v>
      </c>
      <c r="O43" s="46">
        <f>'Vu Mua'!O17</f>
        <v>0</v>
      </c>
      <c r="P43" s="46">
        <f>'Vu Mua'!P17</f>
        <v>0</v>
      </c>
      <c r="Q43" s="156">
        <f t="shared" si="4"/>
        <v>0</v>
      </c>
      <c r="R43" s="157" t="e">
        <f t="shared" si="21"/>
        <v>#DIV/0!</v>
      </c>
      <c r="S43" s="196"/>
    </row>
    <row r="44" spans="1:19" ht="15.75">
      <c r="A44" s="168" t="s">
        <v>18</v>
      </c>
      <c r="B44" s="169"/>
      <c r="C44" s="96">
        <v>54.4</v>
      </c>
      <c r="D44" s="96" t="e">
        <f>D45/D43*10</f>
        <v>#DIV/0!</v>
      </c>
      <c r="E44" s="96">
        <f>'Vu Mua'!E18</f>
        <v>0</v>
      </c>
      <c r="F44" s="96">
        <f>'Vu Mua'!F18</f>
        <v>0</v>
      </c>
      <c r="G44" s="96">
        <f>'Vu Mua'!G18</f>
        <v>0</v>
      </c>
      <c r="H44" s="96">
        <f>'Vu Mua'!H18</f>
        <v>0</v>
      </c>
      <c r="I44" s="96">
        <f>'Vu Mua'!I18</f>
        <v>0</v>
      </c>
      <c r="J44" s="96">
        <f>'Vu Mua'!J18</f>
        <v>0</v>
      </c>
      <c r="K44" s="96">
        <f>'Vu Mua'!K18</f>
        <v>0</v>
      </c>
      <c r="L44" s="96">
        <f>'Vu Mua'!L18</f>
        <v>0</v>
      </c>
      <c r="M44" s="96">
        <f>'Vu Mua'!M18</f>
        <v>0</v>
      </c>
      <c r="N44" s="96">
        <f>'Vu Mua'!N18</f>
        <v>0</v>
      </c>
      <c r="O44" s="96">
        <f>'Vu Mua'!O18</f>
        <v>0</v>
      </c>
      <c r="P44" s="96">
        <f>'Vu Mua'!P18</f>
        <v>0</v>
      </c>
      <c r="Q44" s="171" t="e">
        <f t="shared" si="4"/>
        <v>#DIV/0!</v>
      </c>
      <c r="R44" s="160" t="e">
        <f t="shared" si="21"/>
        <v>#DIV/0!</v>
      </c>
      <c r="S44" s="197"/>
    </row>
    <row r="45" spans="1:19" ht="15.75">
      <c r="A45" s="155" t="s">
        <v>19</v>
      </c>
      <c r="B45" s="161"/>
      <c r="C45" s="46">
        <v>10948.3</v>
      </c>
      <c r="D45" s="46">
        <f t="shared" si="12"/>
        <v>0</v>
      </c>
      <c r="E45" s="46">
        <f>E44*E43/10</f>
        <v>0</v>
      </c>
      <c r="F45" s="46">
        <f aca="true" t="shared" si="23" ref="F45:P45">F44*F43/10</f>
        <v>0</v>
      </c>
      <c r="G45" s="46">
        <f t="shared" si="23"/>
        <v>0</v>
      </c>
      <c r="H45" s="46">
        <f t="shared" si="23"/>
        <v>0</v>
      </c>
      <c r="I45" s="46">
        <f t="shared" si="23"/>
        <v>0</v>
      </c>
      <c r="J45" s="46">
        <f t="shared" si="23"/>
        <v>0</v>
      </c>
      <c r="K45" s="46">
        <f t="shared" si="23"/>
        <v>0</v>
      </c>
      <c r="L45" s="46">
        <f t="shared" si="23"/>
        <v>0</v>
      </c>
      <c r="M45" s="46">
        <f t="shared" si="23"/>
        <v>0</v>
      </c>
      <c r="N45" s="46">
        <f t="shared" si="23"/>
        <v>0</v>
      </c>
      <c r="O45" s="46">
        <f t="shared" si="23"/>
        <v>0</v>
      </c>
      <c r="P45" s="46">
        <f t="shared" si="23"/>
        <v>0</v>
      </c>
      <c r="Q45" s="156">
        <f t="shared" si="4"/>
        <v>0</v>
      </c>
      <c r="R45" s="157" t="e">
        <f t="shared" si="21"/>
        <v>#DIV/0!</v>
      </c>
      <c r="S45" s="196"/>
    </row>
    <row r="46" spans="1:19" ht="15.75">
      <c r="A46" s="158" t="s">
        <v>22</v>
      </c>
      <c r="B46" s="164">
        <v>212</v>
      </c>
      <c r="C46" s="23">
        <v>384</v>
      </c>
      <c r="D46" s="23">
        <f t="shared" si="12"/>
        <v>0</v>
      </c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59">
        <f t="shared" si="4"/>
        <v>0</v>
      </c>
      <c r="R46" s="327">
        <f t="shared" si="21"/>
        <v>0</v>
      </c>
      <c r="S46" s="196"/>
    </row>
    <row r="47" spans="1:19" ht="15.75">
      <c r="A47" s="168" t="s">
        <v>17</v>
      </c>
      <c r="B47" s="169"/>
      <c r="C47" s="96">
        <f>C46</f>
        <v>384</v>
      </c>
      <c r="D47" s="96">
        <f t="shared" si="12"/>
        <v>0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171">
        <f t="shared" si="4"/>
        <v>0</v>
      </c>
      <c r="R47" s="160" t="e">
        <f t="shared" si="21"/>
        <v>#DIV/0!</v>
      </c>
      <c r="S47" s="197"/>
    </row>
    <row r="48" spans="1:19" ht="15.75">
      <c r="A48" s="155" t="s">
        <v>18</v>
      </c>
      <c r="B48" s="161"/>
      <c r="C48" s="46">
        <v>210.6</v>
      </c>
      <c r="D48" s="46" t="e">
        <f>D49/D47*10</f>
        <v>#DIV/0!</v>
      </c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56" t="e">
        <f t="shared" si="4"/>
        <v>#DIV/0!</v>
      </c>
      <c r="R48" s="157" t="e">
        <f t="shared" si="21"/>
        <v>#DIV/0!</v>
      </c>
      <c r="S48" s="196"/>
    </row>
    <row r="49" spans="1:19" ht="15.75">
      <c r="A49" s="168" t="s">
        <v>19</v>
      </c>
      <c r="B49" s="169"/>
      <c r="C49" s="96">
        <v>8087</v>
      </c>
      <c r="D49" s="96">
        <f t="shared" si="12"/>
        <v>0</v>
      </c>
      <c r="E49" s="96">
        <f>E48*E47/10</f>
        <v>0</v>
      </c>
      <c r="F49" s="96">
        <f aca="true" t="shared" si="24" ref="F49:P49">F48*F47/10</f>
        <v>0</v>
      </c>
      <c r="G49" s="96">
        <f t="shared" si="24"/>
        <v>0</v>
      </c>
      <c r="H49" s="96">
        <f t="shared" si="24"/>
        <v>0</v>
      </c>
      <c r="I49" s="96">
        <f t="shared" si="24"/>
        <v>0</v>
      </c>
      <c r="J49" s="96">
        <f t="shared" si="24"/>
        <v>0</v>
      </c>
      <c r="K49" s="96">
        <f t="shared" si="24"/>
        <v>0</v>
      </c>
      <c r="L49" s="96">
        <f t="shared" si="24"/>
        <v>0</v>
      </c>
      <c r="M49" s="96">
        <f t="shared" si="24"/>
        <v>0</v>
      </c>
      <c r="N49" s="96">
        <f t="shared" si="24"/>
        <v>0</v>
      </c>
      <c r="O49" s="96">
        <f t="shared" si="24"/>
        <v>0</v>
      </c>
      <c r="P49" s="96">
        <f t="shared" si="24"/>
        <v>0</v>
      </c>
      <c r="Q49" s="171">
        <f t="shared" si="4"/>
        <v>0</v>
      </c>
      <c r="R49" s="160" t="e">
        <f t="shared" si="21"/>
        <v>#DIV/0!</v>
      </c>
      <c r="S49" s="197"/>
    </row>
    <row r="50" spans="1:19" ht="15.75">
      <c r="A50" s="158" t="s">
        <v>148</v>
      </c>
      <c r="B50" s="23">
        <f>B54+B58+B62</f>
        <v>1812.4</v>
      </c>
      <c r="C50" s="23">
        <f>C54+C58+C62</f>
        <v>2233</v>
      </c>
      <c r="D50" s="23">
        <f t="shared" si="12"/>
        <v>55</v>
      </c>
      <c r="E50" s="23">
        <f aca="true" t="shared" si="25" ref="E50:P51">E54+E58+E62</f>
        <v>0</v>
      </c>
      <c r="F50" s="23">
        <f t="shared" si="25"/>
        <v>0</v>
      </c>
      <c r="G50" s="23">
        <f t="shared" si="25"/>
        <v>0</v>
      </c>
      <c r="H50" s="23">
        <f t="shared" si="25"/>
        <v>55</v>
      </c>
      <c r="I50" s="23">
        <f t="shared" si="25"/>
        <v>0</v>
      </c>
      <c r="J50" s="23">
        <f t="shared" si="25"/>
        <v>0</v>
      </c>
      <c r="K50" s="23">
        <f t="shared" si="25"/>
        <v>0</v>
      </c>
      <c r="L50" s="23">
        <f t="shared" si="25"/>
        <v>0</v>
      </c>
      <c r="M50" s="23">
        <f t="shared" si="25"/>
        <v>0</v>
      </c>
      <c r="N50" s="23">
        <f t="shared" si="25"/>
        <v>0</v>
      </c>
      <c r="O50" s="23">
        <f t="shared" si="25"/>
        <v>0</v>
      </c>
      <c r="P50" s="23">
        <f t="shared" si="25"/>
        <v>0</v>
      </c>
      <c r="Q50" s="159">
        <f t="shared" si="4"/>
        <v>2.4630541871921183</v>
      </c>
      <c r="R50" s="327">
        <f t="shared" si="21"/>
        <v>3.034650187596557</v>
      </c>
      <c r="S50" s="196"/>
    </row>
    <row r="51" spans="1:19" ht="15.75">
      <c r="A51" s="158" t="s">
        <v>17</v>
      </c>
      <c r="B51" s="23">
        <f>B55+B59+B63</f>
        <v>1609.4</v>
      </c>
      <c r="C51" s="23">
        <f>C55+C59+C63</f>
        <v>2233</v>
      </c>
      <c r="D51" s="23">
        <f t="shared" si="12"/>
        <v>13</v>
      </c>
      <c r="E51" s="23">
        <f t="shared" si="25"/>
        <v>0</v>
      </c>
      <c r="F51" s="23">
        <f t="shared" si="25"/>
        <v>0</v>
      </c>
      <c r="G51" s="23">
        <f t="shared" si="25"/>
        <v>0</v>
      </c>
      <c r="H51" s="23">
        <f t="shared" si="25"/>
        <v>13</v>
      </c>
      <c r="I51" s="23">
        <f t="shared" si="25"/>
        <v>0</v>
      </c>
      <c r="J51" s="23">
        <f t="shared" si="25"/>
        <v>0</v>
      </c>
      <c r="K51" s="23">
        <f t="shared" si="25"/>
        <v>0</v>
      </c>
      <c r="L51" s="23">
        <f t="shared" si="25"/>
        <v>0</v>
      </c>
      <c r="M51" s="23">
        <f t="shared" si="25"/>
        <v>0</v>
      </c>
      <c r="N51" s="23">
        <f t="shared" si="25"/>
        <v>0</v>
      </c>
      <c r="O51" s="23">
        <f t="shared" si="25"/>
        <v>0</v>
      </c>
      <c r="P51" s="23">
        <f t="shared" si="25"/>
        <v>0</v>
      </c>
      <c r="Q51" s="159">
        <f t="shared" si="4"/>
        <v>0.5821764442454098</v>
      </c>
      <c r="R51" s="327">
        <f t="shared" si="21"/>
        <v>0.8077544426494345</v>
      </c>
      <c r="S51" s="196"/>
    </row>
    <row r="52" spans="1:19" ht="15.75">
      <c r="A52" s="158" t="s">
        <v>18</v>
      </c>
      <c r="B52" s="23">
        <f aca="true" t="shared" si="26" ref="B52:P52">B53/B51*10</f>
        <v>202.4213992792345</v>
      </c>
      <c r="C52" s="23">
        <f t="shared" si="26"/>
        <v>216.31347962382446</v>
      </c>
      <c r="D52" s="23">
        <f t="shared" si="26"/>
        <v>100</v>
      </c>
      <c r="E52" s="23" t="e">
        <f t="shared" si="26"/>
        <v>#DIV/0!</v>
      </c>
      <c r="F52" s="23" t="e">
        <f t="shared" si="26"/>
        <v>#DIV/0!</v>
      </c>
      <c r="G52" s="23" t="e">
        <f t="shared" si="26"/>
        <v>#DIV/0!</v>
      </c>
      <c r="H52" s="23">
        <f t="shared" si="26"/>
        <v>100</v>
      </c>
      <c r="I52" s="23" t="e">
        <f t="shared" si="26"/>
        <v>#DIV/0!</v>
      </c>
      <c r="J52" s="23" t="e">
        <f t="shared" si="26"/>
        <v>#DIV/0!</v>
      </c>
      <c r="K52" s="23" t="e">
        <f t="shared" si="26"/>
        <v>#DIV/0!</v>
      </c>
      <c r="L52" s="23" t="e">
        <f t="shared" si="26"/>
        <v>#DIV/0!</v>
      </c>
      <c r="M52" s="23" t="e">
        <f t="shared" si="26"/>
        <v>#DIV/0!</v>
      </c>
      <c r="N52" s="23" t="e">
        <f t="shared" si="26"/>
        <v>#DIV/0!</v>
      </c>
      <c r="O52" s="23" t="e">
        <f t="shared" si="26"/>
        <v>#DIV/0!</v>
      </c>
      <c r="P52" s="23" t="e">
        <f t="shared" si="26"/>
        <v>#DIV/0!</v>
      </c>
      <c r="Q52" s="159">
        <f t="shared" si="4"/>
        <v>46.229204104109904</v>
      </c>
      <c r="R52" s="327">
        <f t="shared" si="21"/>
        <v>49.401891477912805</v>
      </c>
      <c r="S52" s="196"/>
    </row>
    <row r="53" spans="1:19" ht="15.75">
      <c r="A53" s="158" t="s">
        <v>19</v>
      </c>
      <c r="B53" s="23">
        <f>B57+B61+B65</f>
        <v>32577.7</v>
      </c>
      <c r="C53" s="23">
        <f>C57+C61+C65</f>
        <v>48302.8</v>
      </c>
      <c r="D53" s="23">
        <f t="shared" si="12"/>
        <v>130</v>
      </c>
      <c r="E53" s="23">
        <f aca="true" t="shared" si="27" ref="E53:P53">E57+E61+E65</f>
        <v>0</v>
      </c>
      <c r="F53" s="23">
        <f t="shared" si="27"/>
        <v>0</v>
      </c>
      <c r="G53" s="23">
        <f t="shared" si="27"/>
        <v>0</v>
      </c>
      <c r="H53" s="23">
        <f t="shared" si="27"/>
        <v>130</v>
      </c>
      <c r="I53" s="23">
        <f t="shared" si="27"/>
        <v>0</v>
      </c>
      <c r="J53" s="23">
        <f t="shared" si="27"/>
        <v>0</v>
      </c>
      <c r="K53" s="23">
        <f t="shared" si="27"/>
        <v>0</v>
      </c>
      <c r="L53" s="23">
        <f t="shared" si="27"/>
        <v>0</v>
      </c>
      <c r="M53" s="23">
        <f t="shared" si="27"/>
        <v>0</v>
      </c>
      <c r="N53" s="23">
        <f t="shared" si="27"/>
        <v>0</v>
      </c>
      <c r="O53" s="23">
        <f t="shared" si="27"/>
        <v>0</v>
      </c>
      <c r="P53" s="23">
        <f t="shared" si="27"/>
        <v>0</v>
      </c>
      <c r="Q53" s="159">
        <f t="shared" si="4"/>
        <v>0.2691355366562601</v>
      </c>
      <c r="R53" s="327">
        <f t="shared" si="21"/>
        <v>0.3990459731656931</v>
      </c>
      <c r="S53" s="196"/>
    </row>
    <row r="54" spans="1:19" ht="15.75">
      <c r="A54" s="165" t="s">
        <v>181</v>
      </c>
      <c r="B54" s="172">
        <v>538</v>
      </c>
      <c r="C54" s="166">
        <v>527</v>
      </c>
      <c r="D54" s="166">
        <f t="shared" si="12"/>
        <v>55</v>
      </c>
      <c r="E54" s="173">
        <f>'Vu ĐX 2022-2023'!D24</f>
        <v>0</v>
      </c>
      <c r="F54" s="173">
        <f>'Vu ĐX 2022-2023'!E24</f>
        <v>0</v>
      </c>
      <c r="G54" s="173">
        <f>'Vu ĐX 2022-2023'!F24</f>
        <v>0</v>
      </c>
      <c r="H54" s="173">
        <f>'Vu ĐX 2022-2023'!G24</f>
        <v>55</v>
      </c>
      <c r="I54" s="173">
        <f>'Vu ĐX 2022-2023'!H24</f>
        <v>0</v>
      </c>
      <c r="J54" s="173">
        <f>'Vu ĐX 2022-2023'!I24</f>
        <v>0</v>
      </c>
      <c r="K54" s="173">
        <f>'Vu ĐX 2022-2023'!J24</f>
        <v>0</v>
      </c>
      <c r="L54" s="173">
        <f>'Vu ĐX 2022-2023'!K24</f>
        <v>0</v>
      </c>
      <c r="M54" s="173">
        <f>'Vu ĐX 2022-2023'!L24</f>
        <v>0</v>
      </c>
      <c r="N54" s="173">
        <f>'Vu ĐX 2022-2023'!M24</f>
        <v>0</v>
      </c>
      <c r="O54" s="173">
        <f>'Vu ĐX 2022-2023'!N24</f>
        <v>0</v>
      </c>
      <c r="P54" s="173">
        <f>'Vu ĐX 2022-2023'!O24</f>
        <v>0</v>
      </c>
      <c r="Q54" s="167">
        <f t="shared" si="4"/>
        <v>10.436432637571158</v>
      </c>
      <c r="R54" s="328">
        <f t="shared" si="21"/>
        <v>10.223048327137546</v>
      </c>
      <c r="S54" s="197"/>
    </row>
    <row r="55" spans="1:19" ht="15.75">
      <c r="A55" s="155" t="s">
        <v>17</v>
      </c>
      <c r="B55" s="161">
        <v>538</v>
      </c>
      <c r="C55" s="46">
        <f>C54</f>
        <v>527</v>
      </c>
      <c r="D55" s="46">
        <f t="shared" si="12"/>
        <v>13</v>
      </c>
      <c r="E55" s="162">
        <f>'Vu ĐX 2022-2023'!D25</f>
        <v>0</v>
      </c>
      <c r="F55" s="162">
        <f>'Vu ĐX 2022-2023'!E25</f>
        <v>0</v>
      </c>
      <c r="G55" s="162">
        <f>'Vu ĐX 2022-2023'!F25</f>
        <v>0</v>
      </c>
      <c r="H55" s="162">
        <f>'Vu ĐX 2022-2023'!G25</f>
        <v>13</v>
      </c>
      <c r="I55" s="162">
        <f>'Vu ĐX 2022-2023'!H25</f>
        <v>0</v>
      </c>
      <c r="J55" s="162">
        <f>'Vu ĐX 2022-2023'!I25</f>
        <v>0</v>
      </c>
      <c r="K55" s="162">
        <f>'Vu ĐX 2022-2023'!J25</f>
        <v>0</v>
      </c>
      <c r="L55" s="162">
        <f>'Vu ĐX 2022-2023'!K25</f>
        <v>0</v>
      </c>
      <c r="M55" s="162">
        <f>'Vu ĐX 2022-2023'!L25</f>
        <v>0</v>
      </c>
      <c r="N55" s="162">
        <f>'Vu ĐX 2022-2023'!M25</f>
        <v>0</v>
      </c>
      <c r="O55" s="162">
        <f>'Vu ĐX 2022-2023'!N25</f>
        <v>0</v>
      </c>
      <c r="P55" s="162">
        <f>'Vu ĐX 2022-2023'!O25</f>
        <v>0</v>
      </c>
      <c r="Q55" s="156">
        <f t="shared" si="4"/>
        <v>2.4667931688804554</v>
      </c>
      <c r="R55" s="157">
        <f t="shared" si="21"/>
        <v>2.41635687732342</v>
      </c>
      <c r="S55" s="196"/>
    </row>
    <row r="56" spans="1:19" ht="15.75">
      <c r="A56" s="168" t="s">
        <v>18</v>
      </c>
      <c r="B56" s="169">
        <v>165.3</v>
      </c>
      <c r="C56" s="96">
        <v>184.8</v>
      </c>
      <c r="D56" s="96">
        <f>D57/D55*10</f>
        <v>100</v>
      </c>
      <c r="E56" s="170">
        <f>'Vu ĐX 2022-2023'!D26</f>
        <v>0</v>
      </c>
      <c r="F56" s="170">
        <f>'Vu ĐX 2022-2023'!E26</f>
        <v>0</v>
      </c>
      <c r="G56" s="170">
        <f>'Vu ĐX 2022-2023'!F26</f>
        <v>0</v>
      </c>
      <c r="H56" s="170">
        <f>'Vu ĐX 2022-2023'!G26</f>
        <v>100</v>
      </c>
      <c r="I56" s="170">
        <f>'Vu ĐX 2022-2023'!H26</f>
        <v>0</v>
      </c>
      <c r="J56" s="170">
        <f>'Vu ĐX 2022-2023'!I26</f>
        <v>0</v>
      </c>
      <c r="K56" s="170">
        <f>'Vu ĐX 2022-2023'!J26</f>
        <v>0</v>
      </c>
      <c r="L56" s="170">
        <f>'Vu ĐX 2022-2023'!K26</f>
        <v>0</v>
      </c>
      <c r="M56" s="170">
        <f>'Vu ĐX 2022-2023'!L26</f>
        <v>0</v>
      </c>
      <c r="N56" s="170">
        <f>'Vu ĐX 2022-2023'!M26</f>
        <v>0</v>
      </c>
      <c r="O56" s="170">
        <f>'Vu ĐX 2022-2023'!N26</f>
        <v>0</v>
      </c>
      <c r="P56" s="170">
        <f>'Vu ĐX 2022-2023'!O26</f>
        <v>0</v>
      </c>
      <c r="Q56" s="171">
        <f t="shared" si="4"/>
        <v>54.112554112554115</v>
      </c>
      <c r="R56" s="160">
        <f t="shared" si="21"/>
        <v>60.49606775559588</v>
      </c>
      <c r="S56" s="197"/>
    </row>
    <row r="57" spans="1:19" ht="15.75">
      <c r="A57" s="155" t="s">
        <v>19</v>
      </c>
      <c r="B57" s="161">
        <v>8895.7</v>
      </c>
      <c r="C57" s="46">
        <v>9736.5</v>
      </c>
      <c r="D57" s="46">
        <f t="shared" si="12"/>
        <v>130</v>
      </c>
      <c r="E57" s="46">
        <f>E56*E55/10</f>
        <v>0</v>
      </c>
      <c r="F57" s="46">
        <f aca="true" t="shared" si="28" ref="F57:P57">F56*F55/10</f>
        <v>0</v>
      </c>
      <c r="G57" s="46">
        <f t="shared" si="28"/>
        <v>0</v>
      </c>
      <c r="H57" s="46">
        <f t="shared" si="28"/>
        <v>130</v>
      </c>
      <c r="I57" s="46">
        <f t="shared" si="28"/>
        <v>0</v>
      </c>
      <c r="J57" s="46">
        <f t="shared" si="28"/>
        <v>0</v>
      </c>
      <c r="K57" s="46">
        <f t="shared" si="28"/>
        <v>0</v>
      </c>
      <c r="L57" s="46">
        <f t="shared" si="28"/>
        <v>0</v>
      </c>
      <c r="M57" s="46">
        <f t="shared" si="28"/>
        <v>0</v>
      </c>
      <c r="N57" s="46">
        <f t="shared" si="28"/>
        <v>0</v>
      </c>
      <c r="O57" s="46">
        <f t="shared" si="28"/>
        <v>0</v>
      </c>
      <c r="P57" s="46">
        <f t="shared" si="28"/>
        <v>0</v>
      </c>
      <c r="Q57" s="156">
        <f t="shared" si="4"/>
        <v>1.335182046936784</v>
      </c>
      <c r="R57" s="157">
        <f t="shared" si="21"/>
        <v>1.4613802174084107</v>
      </c>
      <c r="S57" s="196"/>
    </row>
    <row r="58" spans="1:19" ht="15.75">
      <c r="A58" s="165" t="s">
        <v>23</v>
      </c>
      <c r="B58" s="172">
        <v>1071.4</v>
      </c>
      <c r="C58" s="166">
        <v>851</v>
      </c>
      <c r="D58" s="166">
        <f t="shared" si="12"/>
        <v>0</v>
      </c>
      <c r="E58" s="166">
        <f>'Vu HT'!D21</f>
        <v>0</v>
      </c>
      <c r="F58" s="166">
        <f>'Vu HT'!E21</f>
        <v>0</v>
      </c>
      <c r="G58" s="166">
        <f>'Vu HT'!F21</f>
        <v>0</v>
      </c>
      <c r="H58" s="166">
        <f>'Vu HT'!G21</f>
        <v>0</v>
      </c>
      <c r="I58" s="166">
        <f>'Vu HT'!H21</f>
        <v>0</v>
      </c>
      <c r="J58" s="166">
        <f>'Vu HT'!I21</f>
        <v>0</v>
      </c>
      <c r="K58" s="166">
        <f>'Vu HT'!J21</f>
        <v>0</v>
      </c>
      <c r="L58" s="166">
        <f>'Vu HT'!K21</f>
        <v>0</v>
      </c>
      <c r="M58" s="166">
        <f>'Vu HT'!L21</f>
        <v>0</v>
      </c>
      <c r="N58" s="166">
        <f>'Vu HT'!M21</f>
        <v>0</v>
      </c>
      <c r="O58" s="166">
        <f>'Vu HT'!N21</f>
        <v>0</v>
      </c>
      <c r="P58" s="166">
        <f>'Vu HT'!O21</f>
        <v>0</v>
      </c>
      <c r="Q58" s="167">
        <f t="shared" si="4"/>
        <v>0</v>
      </c>
      <c r="R58" s="328">
        <f t="shared" si="21"/>
        <v>0</v>
      </c>
      <c r="S58" s="197"/>
    </row>
    <row r="59" spans="1:19" ht="15.75">
      <c r="A59" s="155" t="s">
        <v>17</v>
      </c>
      <c r="B59" s="161">
        <v>1071.4</v>
      </c>
      <c r="C59" s="46">
        <f>C58</f>
        <v>851</v>
      </c>
      <c r="D59" s="46">
        <f t="shared" si="12"/>
        <v>0</v>
      </c>
      <c r="E59" s="46">
        <f>'Vu HT'!D22</f>
        <v>0</v>
      </c>
      <c r="F59" s="46">
        <f>'Vu HT'!E22</f>
        <v>0</v>
      </c>
      <c r="G59" s="46">
        <f>'Vu HT'!F22</f>
        <v>0</v>
      </c>
      <c r="H59" s="46">
        <f>'Vu HT'!G22</f>
        <v>0</v>
      </c>
      <c r="I59" s="46">
        <f>'Vu HT'!H22</f>
        <v>0</v>
      </c>
      <c r="J59" s="46">
        <f>'Vu HT'!I22</f>
        <v>0</v>
      </c>
      <c r="K59" s="46">
        <f>'Vu HT'!J22</f>
        <v>0</v>
      </c>
      <c r="L59" s="46">
        <f>'Vu HT'!K22</f>
        <v>0</v>
      </c>
      <c r="M59" s="46">
        <f>'Vu HT'!L22</f>
        <v>0</v>
      </c>
      <c r="N59" s="46">
        <f>'Vu HT'!M22</f>
        <v>0</v>
      </c>
      <c r="O59" s="46">
        <f>'Vu HT'!N22</f>
        <v>0</v>
      </c>
      <c r="P59" s="46">
        <f>'Vu HT'!O22</f>
        <v>0</v>
      </c>
      <c r="Q59" s="156">
        <f t="shared" si="4"/>
        <v>0</v>
      </c>
      <c r="R59" s="157">
        <f t="shared" si="21"/>
        <v>0</v>
      </c>
      <c r="S59" s="196"/>
    </row>
    <row r="60" spans="1:19" ht="15.75">
      <c r="A60" s="168" t="s">
        <v>18</v>
      </c>
      <c r="B60" s="169">
        <v>221</v>
      </c>
      <c r="C60" s="96">
        <v>223.8</v>
      </c>
      <c r="D60" s="96" t="e">
        <f>D61/D59*10</f>
        <v>#DIV/0!</v>
      </c>
      <c r="E60" s="96">
        <f>'Vu HT'!D23</f>
        <v>0</v>
      </c>
      <c r="F60" s="96">
        <f>'Vu HT'!E23</f>
        <v>0</v>
      </c>
      <c r="G60" s="96">
        <f>'Vu HT'!F23</f>
        <v>0</v>
      </c>
      <c r="H60" s="96">
        <f>'Vu HT'!G23</f>
        <v>0</v>
      </c>
      <c r="I60" s="96">
        <f>'Vu HT'!H23</f>
        <v>0</v>
      </c>
      <c r="J60" s="96">
        <f>'Vu HT'!I23</f>
        <v>0</v>
      </c>
      <c r="K60" s="96">
        <f>'Vu HT'!J23</f>
        <v>0</v>
      </c>
      <c r="L60" s="96">
        <f>'Vu HT'!K23</f>
        <v>0</v>
      </c>
      <c r="M60" s="96">
        <f>'Vu HT'!L23</f>
        <v>0</v>
      </c>
      <c r="N60" s="96">
        <f>'Vu HT'!M23</f>
        <v>0</v>
      </c>
      <c r="O60" s="96">
        <f>'Vu HT'!N23</f>
        <v>0</v>
      </c>
      <c r="P60" s="96">
        <f>'Vu HT'!O23</f>
        <v>0</v>
      </c>
      <c r="Q60" s="171" t="e">
        <f t="shared" si="4"/>
        <v>#DIV/0!</v>
      </c>
      <c r="R60" s="160" t="e">
        <f t="shared" si="21"/>
        <v>#DIV/0!</v>
      </c>
      <c r="S60" s="197"/>
    </row>
    <row r="61" spans="1:19" ht="15.75">
      <c r="A61" s="155" t="s">
        <v>19</v>
      </c>
      <c r="B61" s="161">
        <v>23682</v>
      </c>
      <c r="C61" s="46">
        <v>19043.6</v>
      </c>
      <c r="D61" s="46">
        <f t="shared" si="12"/>
        <v>0</v>
      </c>
      <c r="E61" s="46">
        <f>E60*E59/10</f>
        <v>0</v>
      </c>
      <c r="F61" s="46">
        <f aca="true" t="shared" si="29" ref="F61:P61">F60*F59/10</f>
        <v>0</v>
      </c>
      <c r="G61" s="46">
        <f t="shared" si="29"/>
        <v>0</v>
      </c>
      <c r="H61" s="46">
        <f t="shared" si="29"/>
        <v>0</v>
      </c>
      <c r="I61" s="46">
        <f t="shared" si="29"/>
        <v>0</v>
      </c>
      <c r="J61" s="46">
        <f t="shared" si="29"/>
        <v>0</v>
      </c>
      <c r="K61" s="46">
        <f t="shared" si="29"/>
        <v>0</v>
      </c>
      <c r="L61" s="46">
        <f t="shared" si="29"/>
        <v>0</v>
      </c>
      <c r="M61" s="46">
        <f t="shared" si="29"/>
        <v>0</v>
      </c>
      <c r="N61" s="46">
        <f t="shared" si="29"/>
        <v>0</v>
      </c>
      <c r="O61" s="46">
        <f t="shared" si="29"/>
        <v>0</v>
      </c>
      <c r="P61" s="46">
        <f t="shared" si="29"/>
        <v>0</v>
      </c>
      <c r="Q61" s="156">
        <f t="shared" si="4"/>
        <v>0</v>
      </c>
      <c r="R61" s="157">
        <f t="shared" si="21"/>
        <v>0</v>
      </c>
      <c r="S61" s="196"/>
    </row>
    <row r="62" spans="1:19" ht="15.75">
      <c r="A62" s="165" t="s">
        <v>24</v>
      </c>
      <c r="B62" s="172">
        <v>203</v>
      </c>
      <c r="C62" s="166">
        <v>855</v>
      </c>
      <c r="D62" s="166">
        <f t="shared" si="12"/>
        <v>0</v>
      </c>
      <c r="E62" s="166">
        <f>'Vu Mua'!E21</f>
        <v>0</v>
      </c>
      <c r="F62" s="166">
        <f>'Vu Mua'!F21</f>
        <v>0</v>
      </c>
      <c r="G62" s="166">
        <f>'Vu Mua'!G21</f>
        <v>0</v>
      </c>
      <c r="H62" s="166">
        <f>'Vu Mua'!H21</f>
        <v>0</v>
      </c>
      <c r="I62" s="166">
        <f>'Vu Mua'!I21</f>
        <v>0</v>
      </c>
      <c r="J62" s="166">
        <f>'Vu Mua'!J21</f>
        <v>0</v>
      </c>
      <c r="K62" s="166">
        <f>'Vu Mua'!K21</f>
        <v>0</v>
      </c>
      <c r="L62" s="166">
        <f>'Vu Mua'!L21</f>
        <v>0</v>
      </c>
      <c r="M62" s="166">
        <f>'Vu Mua'!M21</f>
        <v>0</v>
      </c>
      <c r="N62" s="166">
        <f>'Vu Mua'!N21</f>
        <v>0</v>
      </c>
      <c r="O62" s="166">
        <f>'Vu Mua'!O21</f>
        <v>0</v>
      </c>
      <c r="P62" s="166">
        <f>'Vu Mua'!P21</f>
        <v>0</v>
      </c>
      <c r="Q62" s="167">
        <f t="shared" si="4"/>
        <v>0</v>
      </c>
      <c r="R62" s="328">
        <f t="shared" si="21"/>
        <v>0</v>
      </c>
      <c r="S62" s="197"/>
    </row>
    <row r="63" spans="1:19" ht="15.75">
      <c r="A63" s="155" t="s">
        <v>17</v>
      </c>
      <c r="B63" s="161"/>
      <c r="C63" s="46">
        <f>C62</f>
        <v>855</v>
      </c>
      <c r="D63" s="46">
        <f t="shared" si="12"/>
        <v>0</v>
      </c>
      <c r="E63" s="46">
        <f>'Vu Mua'!E22</f>
        <v>0</v>
      </c>
      <c r="F63" s="46">
        <f>'Vu Mua'!F22</f>
        <v>0</v>
      </c>
      <c r="G63" s="46">
        <f>'Vu Mua'!G22</f>
        <v>0</v>
      </c>
      <c r="H63" s="46">
        <f>'Vu Mua'!H22</f>
        <v>0</v>
      </c>
      <c r="I63" s="46">
        <f>'Vu Mua'!I22</f>
        <v>0</v>
      </c>
      <c r="J63" s="46">
        <f>'Vu Mua'!J22</f>
        <v>0</v>
      </c>
      <c r="K63" s="46">
        <f>'Vu Mua'!K22</f>
        <v>0</v>
      </c>
      <c r="L63" s="46">
        <f>'Vu Mua'!L22</f>
        <v>0</v>
      </c>
      <c r="M63" s="46">
        <f>'Vu Mua'!M22</f>
        <v>0</v>
      </c>
      <c r="N63" s="46">
        <f>'Vu Mua'!N22</f>
        <v>0</v>
      </c>
      <c r="O63" s="46">
        <f>'Vu Mua'!O22</f>
        <v>0</v>
      </c>
      <c r="P63" s="46">
        <f>'Vu Mua'!P22</f>
        <v>0</v>
      </c>
      <c r="Q63" s="156">
        <f t="shared" si="4"/>
        <v>0</v>
      </c>
      <c r="R63" s="157" t="e">
        <f t="shared" si="21"/>
        <v>#DIV/0!</v>
      </c>
      <c r="S63" s="196"/>
    </row>
    <row r="64" spans="1:19" ht="15.75">
      <c r="A64" s="168" t="s">
        <v>18</v>
      </c>
      <c r="B64" s="169"/>
      <c r="C64" s="96">
        <v>228.3</v>
      </c>
      <c r="D64" s="96" t="e">
        <f>D65/D63*10</f>
        <v>#DIV/0!</v>
      </c>
      <c r="E64" s="96">
        <f>'Vu Mua'!E23</f>
        <v>0</v>
      </c>
      <c r="F64" s="96">
        <f>'Vu Mua'!F23</f>
        <v>0</v>
      </c>
      <c r="G64" s="96">
        <f>'Vu Mua'!G23</f>
        <v>0</v>
      </c>
      <c r="H64" s="96">
        <f>'Vu Mua'!H23</f>
        <v>0</v>
      </c>
      <c r="I64" s="96">
        <f>'Vu Mua'!I23</f>
        <v>0</v>
      </c>
      <c r="J64" s="96">
        <f>'Vu Mua'!J23</f>
        <v>0</v>
      </c>
      <c r="K64" s="96">
        <f>'Vu Mua'!K23</f>
        <v>0</v>
      </c>
      <c r="L64" s="96">
        <f>'Vu Mua'!L23</f>
        <v>0</v>
      </c>
      <c r="M64" s="96">
        <f>'Vu Mua'!M23</f>
        <v>0</v>
      </c>
      <c r="N64" s="96">
        <f>'Vu Mua'!N23</f>
        <v>0</v>
      </c>
      <c r="O64" s="96">
        <f>'Vu Mua'!O23</f>
        <v>0</v>
      </c>
      <c r="P64" s="96">
        <f>'Vu Mua'!P23</f>
        <v>0</v>
      </c>
      <c r="Q64" s="171" t="e">
        <f t="shared" si="4"/>
        <v>#DIV/0!</v>
      </c>
      <c r="R64" s="160" t="e">
        <f t="shared" si="21"/>
        <v>#DIV/0!</v>
      </c>
      <c r="S64" s="197"/>
    </row>
    <row r="65" spans="1:19" ht="15.75">
      <c r="A65" s="155" t="s">
        <v>19</v>
      </c>
      <c r="B65" s="161"/>
      <c r="C65" s="46">
        <v>19522.7</v>
      </c>
      <c r="D65" s="46">
        <f t="shared" si="12"/>
        <v>0</v>
      </c>
      <c r="E65" s="46">
        <f>E64*E63/10</f>
        <v>0</v>
      </c>
      <c r="F65" s="46">
        <f aca="true" t="shared" si="30" ref="F65:P65">F64*F63/10</f>
        <v>0</v>
      </c>
      <c r="G65" s="46">
        <f t="shared" si="30"/>
        <v>0</v>
      </c>
      <c r="H65" s="46">
        <f t="shared" si="30"/>
        <v>0</v>
      </c>
      <c r="I65" s="46">
        <f t="shared" si="30"/>
        <v>0</v>
      </c>
      <c r="J65" s="46">
        <f t="shared" si="30"/>
        <v>0</v>
      </c>
      <c r="K65" s="46">
        <f t="shared" si="30"/>
        <v>0</v>
      </c>
      <c r="L65" s="46">
        <f t="shared" si="30"/>
        <v>0</v>
      </c>
      <c r="M65" s="46">
        <f t="shared" si="30"/>
        <v>0</v>
      </c>
      <c r="N65" s="46">
        <f t="shared" si="30"/>
        <v>0</v>
      </c>
      <c r="O65" s="46">
        <f t="shared" si="30"/>
        <v>0</v>
      </c>
      <c r="P65" s="46">
        <f t="shared" si="30"/>
        <v>0</v>
      </c>
      <c r="Q65" s="156">
        <f t="shared" si="4"/>
        <v>0</v>
      </c>
      <c r="R65" s="157" t="e">
        <f t="shared" si="21"/>
        <v>#DIV/0!</v>
      </c>
      <c r="S65" s="196"/>
    </row>
    <row r="66" spans="1:19" ht="15.75">
      <c r="A66" s="158" t="s">
        <v>54</v>
      </c>
      <c r="B66" s="164">
        <v>290</v>
      </c>
      <c r="C66" s="23">
        <v>381</v>
      </c>
      <c r="D66" s="23">
        <f t="shared" si="12"/>
        <v>0</v>
      </c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59">
        <f t="shared" si="4"/>
        <v>0</v>
      </c>
      <c r="R66" s="327">
        <f t="shared" si="21"/>
        <v>0</v>
      </c>
      <c r="S66" s="196"/>
    </row>
    <row r="67" spans="1:19" ht="15.75">
      <c r="A67" s="168" t="s">
        <v>17</v>
      </c>
      <c r="B67" s="169">
        <v>27</v>
      </c>
      <c r="C67" s="96">
        <f>C66</f>
        <v>381</v>
      </c>
      <c r="D67" s="96">
        <f t="shared" si="12"/>
        <v>0</v>
      </c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171">
        <f aca="true" t="shared" si="31" ref="Q67:Q126">D67/C67*100</f>
        <v>0</v>
      </c>
      <c r="R67" s="160">
        <f t="shared" si="21"/>
        <v>0</v>
      </c>
      <c r="S67" s="197"/>
    </row>
    <row r="68" spans="1:19" ht="15.75">
      <c r="A68" s="155" t="s">
        <v>18</v>
      </c>
      <c r="B68" s="161">
        <v>112.4</v>
      </c>
      <c r="C68" s="46">
        <v>162.5</v>
      </c>
      <c r="D68" s="46" t="e">
        <f>D69/D67*10</f>
        <v>#DIV/0!</v>
      </c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156" t="e">
        <f t="shared" si="31"/>
        <v>#DIV/0!</v>
      </c>
      <c r="R68" s="157" t="e">
        <f t="shared" si="21"/>
        <v>#DIV/0!</v>
      </c>
      <c r="S68" s="196"/>
    </row>
    <row r="69" spans="1:19" ht="15.75">
      <c r="A69" s="168" t="s">
        <v>19</v>
      </c>
      <c r="B69" s="169">
        <v>303.5</v>
      </c>
      <c r="C69" s="96">
        <v>6189.5</v>
      </c>
      <c r="D69" s="96">
        <f t="shared" si="12"/>
        <v>0</v>
      </c>
      <c r="E69" s="96">
        <f>E68*E67/10</f>
        <v>0</v>
      </c>
      <c r="F69" s="96">
        <f aca="true" t="shared" si="32" ref="F69:P69">F68*F67/10</f>
        <v>0</v>
      </c>
      <c r="G69" s="96">
        <f t="shared" si="32"/>
        <v>0</v>
      </c>
      <c r="H69" s="96">
        <f t="shared" si="32"/>
        <v>0</v>
      </c>
      <c r="I69" s="96">
        <f t="shared" si="32"/>
        <v>0</v>
      </c>
      <c r="J69" s="96">
        <f t="shared" si="32"/>
        <v>0</v>
      </c>
      <c r="K69" s="96">
        <f t="shared" si="32"/>
        <v>0</v>
      </c>
      <c r="L69" s="96">
        <f t="shared" si="32"/>
        <v>0</v>
      </c>
      <c r="M69" s="96">
        <f t="shared" si="32"/>
        <v>0</v>
      </c>
      <c r="N69" s="96">
        <f t="shared" si="32"/>
        <v>0</v>
      </c>
      <c r="O69" s="96">
        <f t="shared" si="32"/>
        <v>0</v>
      </c>
      <c r="P69" s="96">
        <f t="shared" si="32"/>
        <v>0</v>
      </c>
      <c r="Q69" s="171">
        <f t="shared" si="31"/>
        <v>0</v>
      </c>
      <c r="R69" s="160">
        <f aca="true" t="shared" si="33" ref="R69:R100">D69/B69*100</f>
        <v>0</v>
      </c>
      <c r="S69" s="197"/>
    </row>
    <row r="70" spans="1:19" ht="15.75">
      <c r="A70" s="158" t="s">
        <v>149</v>
      </c>
      <c r="B70" s="23">
        <f>B71+B83+B99</f>
        <v>1598.3</v>
      </c>
      <c r="C70" s="23">
        <f>C71+C83+C99</f>
        <v>1620</v>
      </c>
      <c r="D70" s="23">
        <f t="shared" si="12"/>
        <v>188.60000000000002</v>
      </c>
      <c r="E70" s="23">
        <f>E71+E83+E99</f>
        <v>0</v>
      </c>
      <c r="F70" s="23">
        <f aca="true" t="shared" si="34" ref="F70:P70">F71+F83+F99</f>
        <v>0</v>
      </c>
      <c r="G70" s="23">
        <f t="shared" si="34"/>
        <v>15</v>
      </c>
      <c r="H70" s="23">
        <f t="shared" si="34"/>
        <v>35</v>
      </c>
      <c r="I70" s="23">
        <f t="shared" si="34"/>
        <v>0</v>
      </c>
      <c r="J70" s="23">
        <f t="shared" si="34"/>
        <v>0</v>
      </c>
      <c r="K70" s="23">
        <f t="shared" si="34"/>
        <v>5</v>
      </c>
      <c r="L70" s="23">
        <f t="shared" si="34"/>
        <v>0</v>
      </c>
      <c r="M70" s="23">
        <f t="shared" si="34"/>
        <v>0</v>
      </c>
      <c r="N70" s="23">
        <f t="shared" si="34"/>
        <v>11.9</v>
      </c>
      <c r="O70" s="23">
        <f t="shared" si="34"/>
        <v>96.7</v>
      </c>
      <c r="P70" s="23">
        <f t="shared" si="34"/>
        <v>25</v>
      </c>
      <c r="Q70" s="159">
        <f t="shared" si="31"/>
        <v>11.641975308641976</v>
      </c>
      <c r="R70" s="327">
        <f t="shared" si="33"/>
        <v>11.80003753988613</v>
      </c>
      <c r="S70" s="196"/>
    </row>
    <row r="71" spans="1:19" ht="15.75">
      <c r="A71" s="165" t="s">
        <v>25</v>
      </c>
      <c r="B71" s="166">
        <f>B75+B79</f>
        <v>413</v>
      </c>
      <c r="C71" s="166">
        <f>C75+C79</f>
        <v>506</v>
      </c>
      <c r="D71" s="166">
        <f t="shared" si="12"/>
        <v>0</v>
      </c>
      <c r="E71" s="166">
        <f aca="true" t="shared" si="35" ref="E71:P72">E75+E79</f>
        <v>0</v>
      </c>
      <c r="F71" s="166">
        <f t="shared" si="35"/>
        <v>0</v>
      </c>
      <c r="G71" s="166">
        <f t="shared" si="35"/>
        <v>0</v>
      </c>
      <c r="H71" s="166">
        <f t="shared" si="35"/>
        <v>0</v>
      </c>
      <c r="I71" s="166">
        <f t="shared" si="35"/>
        <v>0</v>
      </c>
      <c r="J71" s="166">
        <f t="shared" si="35"/>
        <v>0</v>
      </c>
      <c r="K71" s="166">
        <f t="shared" si="35"/>
        <v>0</v>
      </c>
      <c r="L71" s="166">
        <f t="shared" si="35"/>
        <v>0</v>
      </c>
      <c r="M71" s="166">
        <f t="shared" si="35"/>
        <v>0</v>
      </c>
      <c r="N71" s="166">
        <f t="shared" si="35"/>
        <v>0</v>
      </c>
      <c r="O71" s="166">
        <f t="shared" si="35"/>
        <v>0</v>
      </c>
      <c r="P71" s="166">
        <f t="shared" si="35"/>
        <v>0</v>
      </c>
      <c r="Q71" s="167">
        <f t="shared" si="31"/>
        <v>0</v>
      </c>
      <c r="R71" s="328">
        <f t="shared" si="33"/>
        <v>0</v>
      </c>
      <c r="S71" s="197"/>
    </row>
    <row r="72" spans="1:19" ht="15.75">
      <c r="A72" s="165" t="s">
        <v>17</v>
      </c>
      <c r="B72" s="166">
        <f>B76+B80</f>
        <v>413</v>
      </c>
      <c r="C72" s="166">
        <f>C76+C80</f>
        <v>506</v>
      </c>
      <c r="D72" s="166">
        <f t="shared" si="12"/>
        <v>0</v>
      </c>
      <c r="E72" s="166">
        <f t="shared" si="35"/>
        <v>0</v>
      </c>
      <c r="F72" s="166">
        <f t="shared" si="35"/>
        <v>0</v>
      </c>
      <c r="G72" s="166">
        <f t="shared" si="35"/>
        <v>0</v>
      </c>
      <c r="H72" s="166">
        <f t="shared" si="35"/>
        <v>0</v>
      </c>
      <c r="I72" s="166">
        <f t="shared" si="35"/>
        <v>0</v>
      </c>
      <c r="J72" s="166">
        <f t="shared" si="35"/>
        <v>0</v>
      </c>
      <c r="K72" s="166">
        <f t="shared" si="35"/>
        <v>0</v>
      </c>
      <c r="L72" s="166">
        <f t="shared" si="35"/>
        <v>0</v>
      </c>
      <c r="M72" s="166">
        <f t="shared" si="35"/>
        <v>0</v>
      </c>
      <c r="N72" s="166">
        <f t="shared" si="35"/>
        <v>0</v>
      </c>
      <c r="O72" s="166">
        <f t="shared" si="35"/>
        <v>0</v>
      </c>
      <c r="P72" s="166">
        <f t="shared" si="35"/>
        <v>0</v>
      </c>
      <c r="Q72" s="167">
        <f t="shared" si="31"/>
        <v>0</v>
      </c>
      <c r="R72" s="328">
        <f t="shared" si="33"/>
        <v>0</v>
      </c>
      <c r="S72" s="197"/>
    </row>
    <row r="73" spans="1:19" ht="15.75">
      <c r="A73" s="165" t="s">
        <v>18</v>
      </c>
      <c r="B73" s="166">
        <f aca="true" t="shared" si="36" ref="B73:P73">B74/B72*10</f>
        <v>12.878934624697337</v>
      </c>
      <c r="C73" s="166">
        <f t="shared" si="36"/>
        <v>19.72727272727273</v>
      </c>
      <c r="D73" s="166" t="e">
        <f t="shared" si="36"/>
        <v>#DIV/0!</v>
      </c>
      <c r="E73" s="166" t="e">
        <f t="shared" si="36"/>
        <v>#DIV/0!</v>
      </c>
      <c r="F73" s="166" t="e">
        <f t="shared" si="36"/>
        <v>#DIV/0!</v>
      </c>
      <c r="G73" s="166" t="e">
        <f t="shared" si="36"/>
        <v>#DIV/0!</v>
      </c>
      <c r="H73" s="166" t="e">
        <f t="shared" si="36"/>
        <v>#DIV/0!</v>
      </c>
      <c r="I73" s="166" t="e">
        <f t="shared" si="36"/>
        <v>#DIV/0!</v>
      </c>
      <c r="J73" s="166" t="e">
        <f t="shared" si="36"/>
        <v>#DIV/0!</v>
      </c>
      <c r="K73" s="166" t="e">
        <f t="shared" si="36"/>
        <v>#DIV/0!</v>
      </c>
      <c r="L73" s="166" t="e">
        <f t="shared" si="36"/>
        <v>#DIV/0!</v>
      </c>
      <c r="M73" s="166" t="e">
        <f t="shared" si="36"/>
        <v>#DIV/0!</v>
      </c>
      <c r="N73" s="166" t="e">
        <f t="shared" si="36"/>
        <v>#DIV/0!</v>
      </c>
      <c r="O73" s="166" t="e">
        <f t="shared" si="36"/>
        <v>#DIV/0!</v>
      </c>
      <c r="P73" s="166" t="e">
        <f t="shared" si="36"/>
        <v>#DIV/0!</v>
      </c>
      <c r="Q73" s="167" t="e">
        <f t="shared" si="31"/>
        <v>#DIV/0!</v>
      </c>
      <c r="R73" s="328" t="e">
        <f t="shared" si="33"/>
        <v>#DIV/0!</v>
      </c>
      <c r="S73" s="197"/>
    </row>
    <row r="74" spans="1:19" ht="15.75">
      <c r="A74" s="165" t="s">
        <v>19</v>
      </c>
      <c r="B74" s="166">
        <f>B78+B82</f>
        <v>531.9</v>
      </c>
      <c r="C74" s="166">
        <f>C78+C82</f>
        <v>998.2</v>
      </c>
      <c r="D74" s="166">
        <f t="shared" si="12"/>
        <v>0</v>
      </c>
      <c r="E74" s="166">
        <f aca="true" t="shared" si="37" ref="E74:P74">E78+E82</f>
        <v>0</v>
      </c>
      <c r="F74" s="166">
        <f t="shared" si="37"/>
        <v>0</v>
      </c>
      <c r="G74" s="166">
        <f t="shared" si="37"/>
        <v>0</v>
      </c>
      <c r="H74" s="166">
        <f t="shared" si="37"/>
        <v>0</v>
      </c>
      <c r="I74" s="166">
        <f t="shared" si="37"/>
        <v>0</v>
      </c>
      <c r="J74" s="166">
        <f t="shared" si="37"/>
        <v>0</v>
      </c>
      <c r="K74" s="166">
        <f t="shared" si="37"/>
        <v>0</v>
      </c>
      <c r="L74" s="166">
        <f t="shared" si="37"/>
        <v>0</v>
      </c>
      <c r="M74" s="166">
        <f t="shared" si="37"/>
        <v>0</v>
      </c>
      <c r="N74" s="166">
        <f t="shared" si="37"/>
        <v>0</v>
      </c>
      <c r="O74" s="166">
        <f t="shared" si="37"/>
        <v>0</v>
      </c>
      <c r="P74" s="166">
        <f t="shared" si="37"/>
        <v>0</v>
      </c>
      <c r="Q74" s="167">
        <f t="shared" si="31"/>
        <v>0</v>
      </c>
      <c r="R74" s="328">
        <f t="shared" si="33"/>
        <v>0</v>
      </c>
      <c r="S74" s="197"/>
    </row>
    <row r="75" spans="1:19" ht="15.75">
      <c r="A75" s="165" t="s">
        <v>26</v>
      </c>
      <c r="B75" s="172">
        <v>50</v>
      </c>
      <c r="C75" s="166">
        <v>146</v>
      </c>
      <c r="D75" s="166">
        <f>SUM(E75:P75)</f>
        <v>0</v>
      </c>
      <c r="E75" s="173">
        <f>'Vu ĐX 2022-2023'!D29</f>
        <v>0</v>
      </c>
      <c r="F75" s="173">
        <f>'Vu ĐX 2022-2023'!E29</f>
        <v>0</v>
      </c>
      <c r="G75" s="173">
        <f>'Vu ĐX 2022-2023'!F29</f>
        <v>0</v>
      </c>
      <c r="H75" s="173">
        <f>'Vu ĐX 2022-2023'!G29</f>
        <v>0</v>
      </c>
      <c r="I75" s="173">
        <f>'Vu ĐX 2022-2023'!H29</f>
        <v>0</v>
      </c>
      <c r="J75" s="173">
        <f>'Vu ĐX 2022-2023'!I29</f>
        <v>0</v>
      </c>
      <c r="K75" s="173">
        <f>'Vu ĐX 2022-2023'!J29</f>
        <v>0</v>
      </c>
      <c r="L75" s="173">
        <f>'Vu ĐX 2022-2023'!K29</f>
        <v>0</v>
      </c>
      <c r="M75" s="173">
        <f>'Vu ĐX 2022-2023'!L29</f>
        <v>0</v>
      </c>
      <c r="N75" s="173">
        <f>'Vu ĐX 2022-2023'!M29</f>
        <v>0</v>
      </c>
      <c r="O75" s="173">
        <f>'Vu ĐX 2022-2023'!N29</f>
        <v>0</v>
      </c>
      <c r="P75" s="173">
        <f>'Vu ĐX 2022-2023'!O29</f>
        <v>0</v>
      </c>
      <c r="Q75" s="167">
        <f t="shared" si="31"/>
        <v>0</v>
      </c>
      <c r="R75" s="328">
        <f t="shared" si="33"/>
        <v>0</v>
      </c>
      <c r="S75" s="196"/>
    </row>
    <row r="76" spans="1:19" ht="15.75">
      <c r="A76" s="168" t="s">
        <v>17</v>
      </c>
      <c r="B76" s="169">
        <v>50</v>
      </c>
      <c r="C76" s="96">
        <f>C75</f>
        <v>146</v>
      </c>
      <c r="D76" s="96">
        <f>SUM(E76:P76)</f>
        <v>0</v>
      </c>
      <c r="E76" s="96">
        <f>'Vu ĐX 2022-2023'!D30</f>
        <v>0</v>
      </c>
      <c r="F76" s="96">
        <f>'Vu ĐX 2022-2023'!E30</f>
        <v>0</v>
      </c>
      <c r="G76" s="96">
        <f>'Vu ĐX 2022-2023'!F30</f>
        <v>0</v>
      </c>
      <c r="H76" s="96">
        <f>'Vu ĐX 2022-2023'!G30</f>
        <v>0</v>
      </c>
      <c r="I76" s="96">
        <f>'Vu ĐX 2022-2023'!H30</f>
        <v>0</v>
      </c>
      <c r="J76" s="96">
        <f>'Vu ĐX 2022-2023'!I30</f>
        <v>0</v>
      </c>
      <c r="K76" s="96">
        <f>'Vu ĐX 2022-2023'!J30</f>
        <v>0</v>
      </c>
      <c r="L76" s="96">
        <f>'Vu ĐX 2022-2023'!K30</f>
        <v>0</v>
      </c>
      <c r="M76" s="96">
        <f>'Vu ĐX 2022-2023'!L30</f>
        <v>0</v>
      </c>
      <c r="N76" s="96">
        <f>'Vu ĐX 2022-2023'!M30</f>
        <v>0</v>
      </c>
      <c r="O76" s="96">
        <f>'Vu ĐX 2022-2023'!N30</f>
        <v>0</v>
      </c>
      <c r="P76" s="96">
        <f>'Vu ĐX 2022-2023'!O30</f>
        <v>0</v>
      </c>
      <c r="Q76" s="171">
        <f t="shared" si="31"/>
        <v>0</v>
      </c>
      <c r="R76" s="160">
        <f t="shared" si="33"/>
        <v>0</v>
      </c>
      <c r="S76" s="197"/>
    </row>
    <row r="77" spans="1:19" ht="15.75">
      <c r="A77" s="155" t="s">
        <v>18</v>
      </c>
      <c r="B77" s="161">
        <v>12</v>
      </c>
      <c r="C77" s="46">
        <v>23.7</v>
      </c>
      <c r="D77" s="46" t="e">
        <f>D78/D76*10</f>
        <v>#DIV/0!</v>
      </c>
      <c r="E77" s="46">
        <f>'Vu ĐX 2022-2023'!D31</f>
        <v>0</v>
      </c>
      <c r="F77" s="46">
        <f>'Vu ĐX 2022-2023'!E31</f>
        <v>0</v>
      </c>
      <c r="G77" s="46">
        <f>'Vu ĐX 2022-2023'!F31</f>
        <v>0</v>
      </c>
      <c r="H77" s="46">
        <f>'Vu ĐX 2022-2023'!G31</f>
        <v>0</v>
      </c>
      <c r="I77" s="46">
        <f>'Vu ĐX 2022-2023'!H31</f>
        <v>0</v>
      </c>
      <c r="J77" s="46">
        <f>'Vu ĐX 2022-2023'!I31</f>
        <v>0</v>
      </c>
      <c r="K77" s="46">
        <f>'Vu ĐX 2022-2023'!J31</f>
        <v>0</v>
      </c>
      <c r="L77" s="46">
        <f>'Vu ĐX 2022-2023'!K31</f>
        <v>0</v>
      </c>
      <c r="M77" s="46">
        <f>'Vu ĐX 2022-2023'!L31</f>
        <v>0</v>
      </c>
      <c r="N77" s="46">
        <f>'Vu ĐX 2022-2023'!M31</f>
        <v>0</v>
      </c>
      <c r="O77" s="46">
        <f>'Vu ĐX 2022-2023'!N31</f>
        <v>0</v>
      </c>
      <c r="P77" s="46">
        <f>'Vu ĐX 2022-2023'!O31</f>
        <v>0</v>
      </c>
      <c r="Q77" s="156" t="e">
        <f t="shared" si="31"/>
        <v>#DIV/0!</v>
      </c>
      <c r="R77" s="157" t="e">
        <f t="shared" si="33"/>
        <v>#DIV/0!</v>
      </c>
      <c r="S77" s="196"/>
    </row>
    <row r="78" spans="1:19" ht="15.75">
      <c r="A78" s="168" t="s">
        <v>19</v>
      </c>
      <c r="B78" s="169">
        <v>60</v>
      </c>
      <c r="C78" s="96">
        <v>345.7</v>
      </c>
      <c r="D78" s="96">
        <f>SUM(E78:P78)</f>
        <v>0</v>
      </c>
      <c r="E78" s="96">
        <f>E77*E76/10</f>
        <v>0</v>
      </c>
      <c r="F78" s="96">
        <f aca="true" t="shared" si="38" ref="F78:P78">F77*F76/10</f>
        <v>0</v>
      </c>
      <c r="G78" s="96">
        <f t="shared" si="38"/>
        <v>0</v>
      </c>
      <c r="H78" s="96">
        <f t="shared" si="38"/>
        <v>0</v>
      </c>
      <c r="I78" s="96">
        <f t="shared" si="38"/>
        <v>0</v>
      </c>
      <c r="J78" s="96">
        <f t="shared" si="38"/>
        <v>0</v>
      </c>
      <c r="K78" s="96">
        <f t="shared" si="38"/>
        <v>0</v>
      </c>
      <c r="L78" s="96">
        <f t="shared" si="38"/>
        <v>0</v>
      </c>
      <c r="M78" s="96">
        <f t="shared" si="38"/>
        <v>0</v>
      </c>
      <c r="N78" s="96">
        <f t="shared" si="38"/>
        <v>0</v>
      </c>
      <c r="O78" s="96">
        <f t="shared" si="38"/>
        <v>0</v>
      </c>
      <c r="P78" s="96">
        <f t="shared" si="38"/>
        <v>0</v>
      </c>
      <c r="Q78" s="171">
        <f t="shared" si="31"/>
        <v>0</v>
      </c>
      <c r="R78" s="160">
        <f t="shared" si="33"/>
        <v>0</v>
      </c>
      <c r="S78" s="197"/>
    </row>
    <row r="79" spans="1:19" ht="15.75">
      <c r="A79" s="165" t="s">
        <v>27</v>
      </c>
      <c r="B79" s="172">
        <v>363</v>
      </c>
      <c r="C79" s="166">
        <v>360</v>
      </c>
      <c r="D79" s="166">
        <f>SUM(E79:P79)</f>
        <v>0</v>
      </c>
      <c r="E79" s="166">
        <f>'Vu HT'!D26</f>
        <v>0</v>
      </c>
      <c r="F79" s="166">
        <f>'Vu HT'!E26</f>
        <v>0</v>
      </c>
      <c r="G79" s="166">
        <f>'Vu HT'!F26</f>
        <v>0</v>
      </c>
      <c r="H79" s="166">
        <f>'Vu HT'!G26</f>
        <v>0</v>
      </c>
      <c r="I79" s="166">
        <f>'Vu HT'!H26</f>
        <v>0</v>
      </c>
      <c r="J79" s="166">
        <f>'Vu HT'!I26</f>
        <v>0</v>
      </c>
      <c r="K79" s="166">
        <f>'Vu HT'!J26</f>
        <v>0</v>
      </c>
      <c r="L79" s="166">
        <f>'Vu HT'!K26</f>
        <v>0</v>
      </c>
      <c r="M79" s="166">
        <f>'Vu HT'!L26</f>
        <v>0</v>
      </c>
      <c r="N79" s="166">
        <f>'Vu HT'!M26</f>
        <v>0</v>
      </c>
      <c r="O79" s="166">
        <f>'Vu HT'!N26</f>
        <v>0</v>
      </c>
      <c r="P79" s="166">
        <f>'Vu HT'!O26</f>
        <v>0</v>
      </c>
      <c r="Q79" s="167">
        <f t="shared" si="31"/>
        <v>0</v>
      </c>
      <c r="R79" s="328">
        <f t="shared" si="33"/>
        <v>0</v>
      </c>
      <c r="S79" s="196"/>
    </row>
    <row r="80" spans="1:19" ht="15.75">
      <c r="A80" s="168" t="s">
        <v>17</v>
      </c>
      <c r="B80" s="169">
        <v>363</v>
      </c>
      <c r="C80" s="96">
        <f>C79</f>
        <v>360</v>
      </c>
      <c r="D80" s="96">
        <f>SUM(E80:P80)</f>
        <v>0</v>
      </c>
      <c r="E80" s="96">
        <f>'Vu HT'!D27</f>
        <v>0</v>
      </c>
      <c r="F80" s="96">
        <f>'Vu HT'!E27</f>
        <v>0</v>
      </c>
      <c r="G80" s="96">
        <f>'Vu HT'!F27</f>
        <v>0</v>
      </c>
      <c r="H80" s="96">
        <f>'Vu HT'!G27</f>
        <v>0</v>
      </c>
      <c r="I80" s="96">
        <f>'Vu HT'!H27</f>
        <v>0</v>
      </c>
      <c r="J80" s="96">
        <f>'Vu HT'!I27</f>
        <v>0</v>
      </c>
      <c r="K80" s="96">
        <f>'Vu HT'!J27</f>
        <v>0</v>
      </c>
      <c r="L80" s="96">
        <f>'Vu HT'!K27</f>
        <v>0</v>
      </c>
      <c r="M80" s="96">
        <f>'Vu HT'!L27</f>
        <v>0</v>
      </c>
      <c r="N80" s="96">
        <f>'Vu HT'!M27</f>
        <v>0</v>
      </c>
      <c r="O80" s="96">
        <f>'Vu HT'!N27</f>
        <v>0</v>
      </c>
      <c r="P80" s="96">
        <f>'Vu HT'!O27</f>
        <v>0</v>
      </c>
      <c r="Q80" s="171">
        <f t="shared" si="31"/>
        <v>0</v>
      </c>
      <c r="R80" s="160">
        <f t="shared" si="33"/>
        <v>0</v>
      </c>
      <c r="S80" s="197"/>
    </row>
    <row r="81" spans="1:19" ht="15.75">
      <c r="A81" s="155" t="s">
        <v>18</v>
      </c>
      <c r="B81" s="161">
        <v>13</v>
      </c>
      <c r="C81" s="46">
        <v>18.1</v>
      </c>
      <c r="D81" s="46" t="e">
        <f>D82/D80*10</f>
        <v>#DIV/0!</v>
      </c>
      <c r="E81" s="46">
        <f>'Vu HT'!D28</f>
        <v>0</v>
      </c>
      <c r="F81" s="46">
        <f>'Vu HT'!E28</f>
        <v>0</v>
      </c>
      <c r="G81" s="46">
        <f>'Vu HT'!F28</f>
        <v>0</v>
      </c>
      <c r="H81" s="46">
        <f>'Vu HT'!G28</f>
        <v>0</v>
      </c>
      <c r="I81" s="46">
        <f>'Vu HT'!H28</f>
        <v>0</v>
      </c>
      <c r="J81" s="46">
        <f>'Vu HT'!I28</f>
        <v>0</v>
      </c>
      <c r="K81" s="46">
        <f>'Vu HT'!J28</f>
        <v>0</v>
      </c>
      <c r="L81" s="46">
        <f>'Vu HT'!K28</f>
        <v>0</v>
      </c>
      <c r="M81" s="46">
        <f>'Vu HT'!L28</f>
        <v>0</v>
      </c>
      <c r="N81" s="46">
        <f>'Vu HT'!M28</f>
        <v>0</v>
      </c>
      <c r="O81" s="46">
        <f>'Vu HT'!N28</f>
        <v>0</v>
      </c>
      <c r="P81" s="46">
        <f>'Vu HT'!O28</f>
        <v>0</v>
      </c>
      <c r="Q81" s="156" t="e">
        <f t="shared" si="31"/>
        <v>#DIV/0!</v>
      </c>
      <c r="R81" s="157" t="e">
        <f t="shared" si="33"/>
        <v>#DIV/0!</v>
      </c>
      <c r="S81" s="196"/>
    </row>
    <row r="82" spans="1:19" ht="15.75">
      <c r="A82" s="168" t="s">
        <v>19</v>
      </c>
      <c r="B82" s="169">
        <v>471.9</v>
      </c>
      <c r="C82" s="96">
        <v>652.5</v>
      </c>
      <c r="D82" s="96">
        <f>SUM(E82:P82)</f>
        <v>0</v>
      </c>
      <c r="E82" s="96">
        <f>E81*E80/10</f>
        <v>0</v>
      </c>
      <c r="F82" s="96">
        <f aca="true" t="shared" si="39" ref="F82:P82">F81*F80/10</f>
        <v>0</v>
      </c>
      <c r="G82" s="96">
        <f t="shared" si="39"/>
        <v>0</v>
      </c>
      <c r="H82" s="96">
        <f t="shared" si="39"/>
        <v>0</v>
      </c>
      <c r="I82" s="96">
        <f t="shared" si="39"/>
        <v>0</v>
      </c>
      <c r="J82" s="96">
        <f t="shared" si="39"/>
        <v>0</v>
      </c>
      <c r="K82" s="96">
        <f t="shared" si="39"/>
        <v>0</v>
      </c>
      <c r="L82" s="96">
        <f t="shared" si="39"/>
        <v>0</v>
      </c>
      <c r="M82" s="96">
        <f t="shared" si="39"/>
        <v>0</v>
      </c>
      <c r="N82" s="96">
        <f t="shared" si="39"/>
        <v>0</v>
      </c>
      <c r="O82" s="96">
        <f t="shared" si="39"/>
        <v>0</v>
      </c>
      <c r="P82" s="96">
        <f t="shared" si="39"/>
        <v>0</v>
      </c>
      <c r="Q82" s="171">
        <f t="shared" si="31"/>
        <v>0</v>
      </c>
      <c r="R82" s="160">
        <f t="shared" si="33"/>
        <v>0</v>
      </c>
      <c r="S82" s="197"/>
    </row>
    <row r="83" spans="1:19" ht="15.75">
      <c r="A83" s="165" t="s">
        <v>28</v>
      </c>
      <c r="B83" s="166">
        <f>B87+B91+B95</f>
        <v>1023.8</v>
      </c>
      <c r="C83" s="166">
        <f>C87+C91+C95</f>
        <v>940</v>
      </c>
      <c r="D83" s="166">
        <f>SUM(E83:P83)</f>
        <v>35</v>
      </c>
      <c r="E83" s="166">
        <f aca="true" t="shared" si="40" ref="E83:P84">E87+E91+E95</f>
        <v>0</v>
      </c>
      <c r="F83" s="166">
        <f t="shared" si="40"/>
        <v>0</v>
      </c>
      <c r="G83" s="166">
        <f t="shared" si="40"/>
        <v>0</v>
      </c>
      <c r="H83" s="166">
        <f t="shared" si="40"/>
        <v>35</v>
      </c>
      <c r="I83" s="166">
        <f t="shared" si="40"/>
        <v>0</v>
      </c>
      <c r="J83" s="166">
        <f t="shared" si="40"/>
        <v>0</v>
      </c>
      <c r="K83" s="166">
        <f t="shared" si="40"/>
        <v>0</v>
      </c>
      <c r="L83" s="166">
        <f t="shared" si="40"/>
        <v>0</v>
      </c>
      <c r="M83" s="166">
        <f t="shared" si="40"/>
        <v>0</v>
      </c>
      <c r="N83" s="166">
        <f t="shared" si="40"/>
        <v>0</v>
      </c>
      <c r="O83" s="166">
        <f t="shared" si="40"/>
        <v>0</v>
      </c>
      <c r="P83" s="166">
        <f t="shared" si="40"/>
        <v>0</v>
      </c>
      <c r="Q83" s="167">
        <f t="shared" si="31"/>
        <v>3.723404255319149</v>
      </c>
      <c r="R83" s="328">
        <f t="shared" si="33"/>
        <v>3.418636452432116</v>
      </c>
      <c r="S83" s="197"/>
    </row>
    <row r="84" spans="1:19" ht="15.75">
      <c r="A84" s="165" t="s">
        <v>17</v>
      </c>
      <c r="B84" s="166">
        <f>B88+B92+B96</f>
        <v>954.8</v>
      </c>
      <c r="C84" s="166">
        <f>C88+C92+C96</f>
        <v>940</v>
      </c>
      <c r="D84" s="166">
        <f>SUM(E84:P84)</f>
        <v>25</v>
      </c>
      <c r="E84" s="166">
        <f t="shared" si="40"/>
        <v>0</v>
      </c>
      <c r="F84" s="166">
        <f t="shared" si="40"/>
        <v>0</v>
      </c>
      <c r="G84" s="166">
        <f t="shared" si="40"/>
        <v>0</v>
      </c>
      <c r="H84" s="166">
        <f t="shared" si="40"/>
        <v>25</v>
      </c>
      <c r="I84" s="166">
        <f t="shared" si="40"/>
        <v>0</v>
      </c>
      <c r="J84" s="166">
        <f t="shared" si="40"/>
        <v>0</v>
      </c>
      <c r="K84" s="166">
        <f t="shared" si="40"/>
        <v>0</v>
      </c>
      <c r="L84" s="166">
        <f t="shared" si="40"/>
        <v>0</v>
      </c>
      <c r="M84" s="166">
        <f t="shared" si="40"/>
        <v>0</v>
      </c>
      <c r="N84" s="166">
        <f t="shared" si="40"/>
        <v>0</v>
      </c>
      <c r="O84" s="166">
        <f t="shared" si="40"/>
        <v>0</v>
      </c>
      <c r="P84" s="166">
        <f t="shared" si="40"/>
        <v>0</v>
      </c>
      <c r="Q84" s="167">
        <f t="shared" si="31"/>
        <v>2.6595744680851063</v>
      </c>
      <c r="R84" s="328">
        <f t="shared" si="33"/>
        <v>2.618349392542941</v>
      </c>
      <c r="S84" s="197"/>
    </row>
    <row r="85" spans="1:19" ht="15.75">
      <c r="A85" s="165" t="s">
        <v>18</v>
      </c>
      <c r="B85" s="166">
        <f aca="true" t="shared" si="41" ref="B85:P85">B86/B84*10</f>
        <v>13.011101801424383</v>
      </c>
      <c r="C85" s="166">
        <f t="shared" si="41"/>
        <v>12.93191489361702</v>
      </c>
      <c r="D85" s="166">
        <f t="shared" si="41"/>
        <v>11.5</v>
      </c>
      <c r="E85" s="166" t="e">
        <f t="shared" si="41"/>
        <v>#DIV/0!</v>
      </c>
      <c r="F85" s="166" t="e">
        <f t="shared" si="41"/>
        <v>#DIV/0!</v>
      </c>
      <c r="G85" s="166" t="e">
        <f t="shared" si="41"/>
        <v>#DIV/0!</v>
      </c>
      <c r="H85" s="166">
        <f t="shared" si="41"/>
        <v>11.5</v>
      </c>
      <c r="I85" s="166" t="e">
        <f t="shared" si="41"/>
        <v>#DIV/0!</v>
      </c>
      <c r="J85" s="166" t="e">
        <f t="shared" si="41"/>
        <v>#DIV/0!</v>
      </c>
      <c r="K85" s="166" t="e">
        <f t="shared" si="41"/>
        <v>#DIV/0!</v>
      </c>
      <c r="L85" s="166" t="e">
        <f t="shared" si="41"/>
        <v>#DIV/0!</v>
      </c>
      <c r="M85" s="166" t="e">
        <f t="shared" si="41"/>
        <v>#DIV/0!</v>
      </c>
      <c r="N85" s="166" t="e">
        <f t="shared" si="41"/>
        <v>#DIV/0!</v>
      </c>
      <c r="O85" s="166" t="e">
        <f t="shared" si="41"/>
        <v>#DIV/0!</v>
      </c>
      <c r="P85" s="166" t="e">
        <f t="shared" si="41"/>
        <v>#DIV/0!</v>
      </c>
      <c r="Q85" s="167">
        <f t="shared" si="31"/>
        <v>88.92727871010202</v>
      </c>
      <c r="R85" s="328">
        <f t="shared" si="33"/>
        <v>88.38605811800691</v>
      </c>
      <c r="S85" s="197"/>
    </row>
    <row r="86" spans="1:19" ht="15.75">
      <c r="A86" s="165" t="s">
        <v>19</v>
      </c>
      <c r="B86" s="166">
        <f>B90+B94+B98</f>
        <v>1242.3</v>
      </c>
      <c r="C86" s="166">
        <f>C90+C94+C98</f>
        <v>1215.6</v>
      </c>
      <c r="D86" s="166">
        <f>SUM(E86:P86)</f>
        <v>28.75</v>
      </c>
      <c r="E86" s="166">
        <f aca="true" t="shared" si="42" ref="E86:P86">E90+E94+E98</f>
        <v>0</v>
      </c>
      <c r="F86" s="166">
        <f t="shared" si="42"/>
        <v>0</v>
      </c>
      <c r="G86" s="166">
        <f t="shared" si="42"/>
        <v>0</v>
      </c>
      <c r="H86" s="166">
        <f t="shared" si="42"/>
        <v>28.75</v>
      </c>
      <c r="I86" s="166">
        <f t="shared" si="42"/>
        <v>0</v>
      </c>
      <c r="J86" s="166">
        <f t="shared" si="42"/>
        <v>0</v>
      </c>
      <c r="K86" s="166">
        <f t="shared" si="42"/>
        <v>0</v>
      </c>
      <c r="L86" s="166">
        <f t="shared" si="42"/>
        <v>0</v>
      </c>
      <c r="M86" s="166">
        <f t="shared" si="42"/>
        <v>0</v>
      </c>
      <c r="N86" s="166">
        <f t="shared" si="42"/>
        <v>0</v>
      </c>
      <c r="O86" s="166">
        <f t="shared" si="42"/>
        <v>0</v>
      </c>
      <c r="P86" s="166">
        <f t="shared" si="42"/>
        <v>0</v>
      </c>
      <c r="Q86" s="167">
        <f t="shared" si="31"/>
        <v>2.3650871997367555</v>
      </c>
      <c r="R86" s="328">
        <f t="shared" si="33"/>
        <v>2.314255815825485</v>
      </c>
      <c r="S86" s="197"/>
    </row>
    <row r="87" spans="1:19" ht="15.75">
      <c r="A87" s="165" t="s">
        <v>150</v>
      </c>
      <c r="B87" s="172">
        <v>281</v>
      </c>
      <c r="C87" s="166">
        <v>427</v>
      </c>
      <c r="D87" s="166">
        <f>SUM(E87:P87)</f>
        <v>35</v>
      </c>
      <c r="E87" s="173">
        <f>'Vu ĐX 2022-2023'!D34</f>
        <v>0</v>
      </c>
      <c r="F87" s="173">
        <f>'Vu ĐX 2022-2023'!E34</f>
        <v>0</v>
      </c>
      <c r="G87" s="173">
        <f>'Vu ĐX 2022-2023'!F34</f>
        <v>0</v>
      </c>
      <c r="H87" s="173">
        <f>'Vu ĐX 2022-2023'!G34</f>
        <v>35</v>
      </c>
      <c r="I87" s="173">
        <f>'Vu ĐX 2022-2023'!H34</f>
        <v>0</v>
      </c>
      <c r="J87" s="173">
        <f>'Vu ĐX 2022-2023'!I34</f>
        <v>0</v>
      </c>
      <c r="K87" s="173">
        <f>'Vu ĐX 2022-2023'!J34</f>
        <v>0</v>
      </c>
      <c r="L87" s="173">
        <f>'Vu ĐX 2022-2023'!K34</f>
        <v>0</v>
      </c>
      <c r="M87" s="173">
        <f>'Vu ĐX 2022-2023'!L34</f>
        <v>0</v>
      </c>
      <c r="N87" s="173">
        <f>'Vu ĐX 2022-2023'!M34</f>
        <v>0</v>
      </c>
      <c r="O87" s="173">
        <f>'Vu ĐX 2022-2023'!N34</f>
        <v>0</v>
      </c>
      <c r="P87" s="173">
        <f>'Vu ĐX 2022-2023'!O34</f>
        <v>0</v>
      </c>
      <c r="Q87" s="167">
        <f t="shared" si="31"/>
        <v>8.19672131147541</v>
      </c>
      <c r="R87" s="328">
        <f t="shared" si="33"/>
        <v>12.455516014234876</v>
      </c>
      <c r="S87" s="196"/>
    </row>
    <row r="88" spans="1:19" ht="15.75">
      <c r="A88" s="168" t="s">
        <v>17</v>
      </c>
      <c r="B88" s="169">
        <v>281</v>
      </c>
      <c r="C88" s="96">
        <f>C87</f>
        <v>427</v>
      </c>
      <c r="D88" s="96">
        <f>SUM(E88:P88)</f>
        <v>25</v>
      </c>
      <c r="E88" s="170">
        <f>'Vu ĐX 2022-2023'!D35</f>
        <v>0</v>
      </c>
      <c r="F88" s="170">
        <f>'Vu ĐX 2022-2023'!E35</f>
        <v>0</v>
      </c>
      <c r="G88" s="170">
        <f>'Vu ĐX 2022-2023'!F35</f>
        <v>0</v>
      </c>
      <c r="H88" s="170">
        <f>'Vu ĐX 2022-2023'!G35</f>
        <v>25</v>
      </c>
      <c r="I88" s="170">
        <f>'Vu ĐX 2022-2023'!H35</f>
        <v>0</v>
      </c>
      <c r="J88" s="170">
        <f>'Vu ĐX 2022-2023'!I35</f>
        <v>0</v>
      </c>
      <c r="K88" s="170">
        <f>'Vu ĐX 2022-2023'!J35</f>
        <v>0</v>
      </c>
      <c r="L88" s="170">
        <f>'Vu ĐX 2022-2023'!K35</f>
        <v>0</v>
      </c>
      <c r="M88" s="170">
        <f>'Vu ĐX 2022-2023'!L35</f>
        <v>0</v>
      </c>
      <c r="N88" s="170">
        <f>'Vu ĐX 2022-2023'!M35</f>
        <v>0</v>
      </c>
      <c r="O88" s="170">
        <f>'Vu ĐX 2022-2023'!N35</f>
        <v>0</v>
      </c>
      <c r="P88" s="170">
        <f>'Vu ĐX 2022-2023'!O35</f>
        <v>0</v>
      </c>
      <c r="Q88" s="171">
        <f t="shared" si="31"/>
        <v>5.85480093676815</v>
      </c>
      <c r="R88" s="160">
        <f t="shared" si="33"/>
        <v>8.896797153024911</v>
      </c>
      <c r="S88" s="197"/>
    </row>
    <row r="89" spans="1:19" ht="15.75">
      <c r="A89" s="155" t="s">
        <v>18</v>
      </c>
      <c r="B89" s="161">
        <v>10.8</v>
      </c>
      <c r="C89" s="46">
        <v>12.3</v>
      </c>
      <c r="D89" s="46">
        <f>D90/D88*10</f>
        <v>11.5</v>
      </c>
      <c r="E89" s="162">
        <f>'Vu ĐX 2022-2023'!D36</f>
        <v>0</v>
      </c>
      <c r="F89" s="162">
        <f>'Vu ĐX 2022-2023'!E36</f>
        <v>0</v>
      </c>
      <c r="G89" s="162">
        <f>'Vu ĐX 2022-2023'!F36</f>
        <v>0</v>
      </c>
      <c r="H89" s="162">
        <f>'Vu ĐX 2022-2023'!G36</f>
        <v>11.5</v>
      </c>
      <c r="I89" s="162">
        <f>'Vu ĐX 2022-2023'!H36</f>
        <v>0</v>
      </c>
      <c r="J89" s="162">
        <f>'Vu ĐX 2022-2023'!I36</f>
        <v>0</v>
      </c>
      <c r="K89" s="162">
        <f>'Vu ĐX 2022-2023'!J36</f>
        <v>0</v>
      </c>
      <c r="L89" s="162">
        <f>'Vu ĐX 2022-2023'!K36</f>
        <v>0</v>
      </c>
      <c r="M89" s="162">
        <f>'Vu ĐX 2022-2023'!L36</f>
        <v>0</v>
      </c>
      <c r="N89" s="162">
        <f>'Vu ĐX 2022-2023'!M36</f>
        <v>0</v>
      </c>
      <c r="O89" s="162">
        <f>'Vu ĐX 2022-2023'!N36</f>
        <v>0</v>
      </c>
      <c r="P89" s="162">
        <f>'Vu ĐX 2022-2023'!O36</f>
        <v>0</v>
      </c>
      <c r="Q89" s="156">
        <f t="shared" si="31"/>
        <v>93.4959349593496</v>
      </c>
      <c r="R89" s="157">
        <f t="shared" si="33"/>
        <v>106.48148148148147</v>
      </c>
      <c r="S89" s="196"/>
    </row>
    <row r="90" spans="1:19" ht="15.75">
      <c r="A90" s="168" t="s">
        <v>19</v>
      </c>
      <c r="B90" s="169">
        <v>302.2</v>
      </c>
      <c r="C90" s="46">
        <v>526.4</v>
      </c>
      <c r="D90" s="96">
        <f>SUM(E90:P90)</f>
        <v>28.75</v>
      </c>
      <c r="E90" s="96">
        <f>E89*E88/10</f>
        <v>0</v>
      </c>
      <c r="F90" s="96">
        <f aca="true" t="shared" si="43" ref="F90:P90">F89*F88/10</f>
        <v>0</v>
      </c>
      <c r="G90" s="96">
        <f t="shared" si="43"/>
        <v>0</v>
      </c>
      <c r="H90" s="96">
        <f t="shared" si="43"/>
        <v>28.75</v>
      </c>
      <c r="I90" s="96">
        <f t="shared" si="43"/>
        <v>0</v>
      </c>
      <c r="J90" s="96">
        <f t="shared" si="43"/>
        <v>0</v>
      </c>
      <c r="K90" s="96">
        <f t="shared" si="43"/>
        <v>0</v>
      </c>
      <c r="L90" s="96">
        <f t="shared" si="43"/>
        <v>0</v>
      </c>
      <c r="M90" s="96">
        <f t="shared" si="43"/>
        <v>0</v>
      </c>
      <c r="N90" s="96">
        <f t="shared" si="43"/>
        <v>0</v>
      </c>
      <c r="O90" s="96">
        <f t="shared" si="43"/>
        <v>0</v>
      </c>
      <c r="P90" s="96">
        <f t="shared" si="43"/>
        <v>0</v>
      </c>
      <c r="Q90" s="171">
        <f t="shared" si="31"/>
        <v>5.461626139817629</v>
      </c>
      <c r="R90" s="160">
        <f t="shared" si="33"/>
        <v>9.513567174056917</v>
      </c>
      <c r="S90" s="197"/>
    </row>
    <row r="91" spans="1:19" ht="15.75">
      <c r="A91" s="165" t="s">
        <v>151</v>
      </c>
      <c r="B91" s="172">
        <v>673.8</v>
      </c>
      <c r="C91" s="166">
        <v>253</v>
      </c>
      <c r="D91" s="166">
        <f>SUM(E91:P91)</f>
        <v>0</v>
      </c>
      <c r="E91" s="166">
        <f>'Vu HT'!D31</f>
        <v>0</v>
      </c>
      <c r="F91" s="166">
        <f>'Vu HT'!E31</f>
        <v>0</v>
      </c>
      <c r="G91" s="166">
        <f>'Vu HT'!F31</f>
        <v>0</v>
      </c>
      <c r="H91" s="166">
        <f>'Vu HT'!G31</f>
        <v>0</v>
      </c>
      <c r="I91" s="166">
        <f>'Vu HT'!H31</f>
        <v>0</v>
      </c>
      <c r="J91" s="166">
        <f>'Vu HT'!I31</f>
        <v>0</v>
      </c>
      <c r="K91" s="166">
        <f>'Vu HT'!J31</f>
        <v>0</v>
      </c>
      <c r="L91" s="166">
        <f>'Vu HT'!K31</f>
        <v>0</v>
      </c>
      <c r="M91" s="166">
        <f>'Vu HT'!L31</f>
        <v>0</v>
      </c>
      <c r="N91" s="166">
        <f>'Vu HT'!M31</f>
        <v>0</v>
      </c>
      <c r="O91" s="166">
        <f>'Vu HT'!N31</f>
        <v>0</v>
      </c>
      <c r="P91" s="166">
        <f>'Vu HT'!O31</f>
        <v>0</v>
      </c>
      <c r="Q91" s="167">
        <f t="shared" si="31"/>
        <v>0</v>
      </c>
      <c r="R91" s="328">
        <f t="shared" si="33"/>
        <v>0</v>
      </c>
      <c r="S91" s="196"/>
    </row>
    <row r="92" spans="1:19" ht="15.75">
      <c r="A92" s="168" t="s">
        <v>17</v>
      </c>
      <c r="B92" s="169">
        <v>673.8</v>
      </c>
      <c r="C92" s="96">
        <f>C91</f>
        <v>253</v>
      </c>
      <c r="D92" s="96">
        <f>SUM(E92:P92)</f>
        <v>0</v>
      </c>
      <c r="E92" s="96">
        <f>'Vu HT'!D32</f>
        <v>0</v>
      </c>
      <c r="F92" s="96">
        <f>'Vu HT'!E32</f>
        <v>0</v>
      </c>
      <c r="G92" s="96">
        <f>'Vu HT'!F32</f>
        <v>0</v>
      </c>
      <c r="H92" s="96">
        <f>'Vu HT'!G32</f>
        <v>0</v>
      </c>
      <c r="I92" s="96">
        <f>'Vu HT'!H32</f>
        <v>0</v>
      </c>
      <c r="J92" s="96">
        <f>'Vu HT'!I32</f>
        <v>0</v>
      </c>
      <c r="K92" s="96">
        <f>'Vu HT'!J32</f>
        <v>0</v>
      </c>
      <c r="L92" s="96">
        <f>'Vu HT'!K32</f>
        <v>0</v>
      </c>
      <c r="M92" s="96">
        <f>'Vu HT'!L32</f>
        <v>0</v>
      </c>
      <c r="N92" s="96">
        <f>'Vu HT'!M32</f>
        <v>0</v>
      </c>
      <c r="O92" s="96">
        <f>'Vu HT'!N32</f>
        <v>0</v>
      </c>
      <c r="P92" s="96">
        <f>'Vu HT'!O32</f>
        <v>0</v>
      </c>
      <c r="Q92" s="171">
        <f t="shared" si="31"/>
        <v>0</v>
      </c>
      <c r="R92" s="160">
        <f t="shared" si="33"/>
        <v>0</v>
      </c>
      <c r="S92" s="197"/>
    </row>
    <row r="93" spans="1:19" ht="15.75">
      <c r="A93" s="155" t="s">
        <v>18</v>
      </c>
      <c r="B93" s="161">
        <v>14</v>
      </c>
      <c r="C93" s="46">
        <v>13.4</v>
      </c>
      <c r="D93" s="46" t="e">
        <f>D94/D92*10</f>
        <v>#DIV/0!</v>
      </c>
      <c r="E93" s="46">
        <f>'Vu HT'!D33</f>
        <v>0</v>
      </c>
      <c r="F93" s="46">
        <f>'Vu HT'!E33</f>
        <v>0</v>
      </c>
      <c r="G93" s="46">
        <f>'Vu HT'!F33</f>
        <v>0</v>
      </c>
      <c r="H93" s="46">
        <f>'Vu HT'!G33</f>
        <v>0</v>
      </c>
      <c r="I93" s="46">
        <f>'Vu HT'!H33</f>
        <v>0</v>
      </c>
      <c r="J93" s="46">
        <f>'Vu HT'!I33</f>
        <v>0</v>
      </c>
      <c r="K93" s="46">
        <f>'Vu HT'!J33</f>
        <v>0</v>
      </c>
      <c r="L93" s="46">
        <f>'Vu HT'!K33</f>
        <v>0</v>
      </c>
      <c r="M93" s="46">
        <f>'Vu HT'!L33</f>
        <v>0</v>
      </c>
      <c r="N93" s="46">
        <f>'Vu HT'!M33</f>
        <v>0</v>
      </c>
      <c r="O93" s="46">
        <f>'Vu HT'!N33</f>
        <v>0</v>
      </c>
      <c r="P93" s="46">
        <f>'Vu HT'!O33</f>
        <v>0</v>
      </c>
      <c r="Q93" s="156" t="e">
        <f t="shared" si="31"/>
        <v>#DIV/0!</v>
      </c>
      <c r="R93" s="157" t="e">
        <f t="shared" si="33"/>
        <v>#DIV/0!</v>
      </c>
      <c r="S93" s="196"/>
    </row>
    <row r="94" spans="1:19" ht="15.75">
      <c r="A94" s="168" t="s">
        <v>19</v>
      </c>
      <c r="B94" s="169">
        <v>940.1</v>
      </c>
      <c r="C94" s="96">
        <v>338.7</v>
      </c>
      <c r="D94" s="96">
        <f>SUM(E94:P94)</f>
        <v>0</v>
      </c>
      <c r="E94" s="96">
        <f>E93*E92/10</f>
        <v>0</v>
      </c>
      <c r="F94" s="96">
        <f aca="true" t="shared" si="44" ref="F94:P94">F93*F92/10</f>
        <v>0</v>
      </c>
      <c r="G94" s="96">
        <f t="shared" si="44"/>
        <v>0</v>
      </c>
      <c r="H94" s="96">
        <f t="shared" si="44"/>
        <v>0</v>
      </c>
      <c r="I94" s="96">
        <f t="shared" si="44"/>
        <v>0</v>
      </c>
      <c r="J94" s="96">
        <f t="shared" si="44"/>
        <v>0</v>
      </c>
      <c r="K94" s="96">
        <f t="shared" si="44"/>
        <v>0</v>
      </c>
      <c r="L94" s="96">
        <f t="shared" si="44"/>
        <v>0</v>
      </c>
      <c r="M94" s="96">
        <f t="shared" si="44"/>
        <v>0</v>
      </c>
      <c r="N94" s="96">
        <f t="shared" si="44"/>
        <v>0</v>
      </c>
      <c r="O94" s="96">
        <f t="shared" si="44"/>
        <v>0</v>
      </c>
      <c r="P94" s="96">
        <f t="shared" si="44"/>
        <v>0</v>
      </c>
      <c r="Q94" s="171">
        <f t="shared" si="31"/>
        <v>0</v>
      </c>
      <c r="R94" s="160">
        <f t="shared" si="33"/>
        <v>0</v>
      </c>
      <c r="S94" s="197"/>
    </row>
    <row r="95" spans="1:19" ht="15.75">
      <c r="A95" s="165" t="s">
        <v>152</v>
      </c>
      <c r="B95" s="172">
        <v>69</v>
      </c>
      <c r="C95" s="166">
        <v>260</v>
      </c>
      <c r="D95" s="166">
        <f>SUM(E95:P95)</f>
        <v>0</v>
      </c>
      <c r="E95" s="166">
        <f>'Vu Mua'!E31</f>
        <v>0</v>
      </c>
      <c r="F95" s="166">
        <f>'Vu Mua'!F31</f>
        <v>0</v>
      </c>
      <c r="G95" s="166">
        <f>'Vu Mua'!G31</f>
        <v>0</v>
      </c>
      <c r="H95" s="166">
        <f>'Vu Mua'!H31</f>
        <v>0</v>
      </c>
      <c r="I95" s="166">
        <f>'Vu Mua'!I31</f>
        <v>0</v>
      </c>
      <c r="J95" s="166">
        <f>'Vu Mua'!J31</f>
        <v>0</v>
      </c>
      <c r="K95" s="166">
        <f>'Vu Mua'!K31</f>
        <v>0</v>
      </c>
      <c r="L95" s="166">
        <f>'Vu Mua'!L31</f>
        <v>0</v>
      </c>
      <c r="M95" s="166">
        <f>'Vu Mua'!M31</f>
        <v>0</v>
      </c>
      <c r="N95" s="166">
        <f>'Vu Mua'!N31</f>
        <v>0</v>
      </c>
      <c r="O95" s="166">
        <f>'Vu Mua'!O31</f>
        <v>0</v>
      </c>
      <c r="P95" s="166">
        <f>'Vu Mua'!P31</f>
        <v>0</v>
      </c>
      <c r="Q95" s="167">
        <f t="shared" si="31"/>
        <v>0</v>
      </c>
      <c r="R95" s="328">
        <f t="shared" si="33"/>
        <v>0</v>
      </c>
      <c r="S95" s="196"/>
    </row>
    <row r="96" spans="1:19" ht="15.75">
      <c r="A96" s="168" t="s">
        <v>17</v>
      </c>
      <c r="B96" s="169"/>
      <c r="C96" s="96">
        <f>C95</f>
        <v>260</v>
      </c>
      <c r="D96" s="96">
        <f>SUM(E96:P96)</f>
        <v>0</v>
      </c>
      <c r="E96" s="96">
        <f>'Vu Mua'!E32</f>
        <v>0</v>
      </c>
      <c r="F96" s="96">
        <f>'Vu Mua'!F32</f>
        <v>0</v>
      </c>
      <c r="G96" s="96">
        <f>'Vu Mua'!G32</f>
        <v>0</v>
      </c>
      <c r="H96" s="96">
        <f>'Vu Mua'!H32</f>
        <v>0</v>
      </c>
      <c r="I96" s="96">
        <f>'Vu Mua'!I32</f>
        <v>0</v>
      </c>
      <c r="J96" s="96">
        <f>'Vu Mua'!J32</f>
        <v>0</v>
      </c>
      <c r="K96" s="96">
        <f>'Vu Mua'!K32</f>
        <v>0</v>
      </c>
      <c r="L96" s="96">
        <f>'Vu Mua'!L32</f>
        <v>0</v>
      </c>
      <c r="M96" s="96">
        <f>'Vu Mua'!M32</f>
        <v>0</v>
      </c>
      <c r="N96" s="96">
        <f>'Vu Mua'!N32</f>
        <v>0</v>
      </c>
      <c r="O96" s="96">
        <f>'Vu Mua'!O32</f>
        <v>0</v>
      </c>
      <c r="P96" s="96">
        <f>'Vu Mua'!P32</f>
        <v>0</v>
      </c>
      <c r="Q96" s="171">
        <f t="shared" si="31"/>
        <v>0</v>
      </c>
      <c r="R96" s="160" t="e">
        <f t="shared" si="33"/>
        <v>#DIV/0!</v>
      </c>
      <c r="S96" s="197"/>
    </row>
    <row r="97" spans="1:19" ht="15.75">
      <c r="A97" s="155" t="s">
        <v>18</v>
      </c>
      <c r="B97" s="161"/>
      <c r="C97" s="46">
        <v>13.5</v>
      </c>
      <c r="D97" s="46" t="e">
        <f>D98/D96*10</f>
        <v>#DIV/0!</v>
      </c>
      <c r="E97" s="46">
        <f>'Vu Mua'!E33</f>
        <v>0</v>
      </c>
      <c r="F97" s="46">
        <f>'Vu Mua'!F33</f>
        <v>0</v>
      </c>
      <c r="G97" s="46">
        <f>'Vu Mua'!G33</f>
        <v>0</v>
      </c>
      <c r="H97" s="46">
        <f>'Vu Mua'!H33</f>
        <v>0</v>
      </c>
      <c r="I97" s="46">
        <f>'Vu Mua'!I33</f>
        <v>0</v>
      </c>
      <c r="J97" s="46">
        <f>'Vu Mua'!J33</f>
        <v>0</v>
      </c>
      <c r="K97" s="46">
        <f>'Vu Mua'!K33</f>
        <v>0</v>
      </c>
      <c r="L97" s="46">
        <f>'Vu Mua'!L33</f>
        <v>0</v>
      </c>
      <c r="M97" s="46">
        <f>'Vu Mua'!M33</f>
        <v>0</v>
      </c>
      <c r="N97" s="46">
        <f>'Vu Mua'!N33</f>
        <v>0</v>
      </c>
      <c r="O97" s="46">
        <f>'Vu Mua'!O33</f>
        <v>0</v>
      </c>
      <c r="P97" s="46">
        <f>'Vu Mua'!P33</f>
        <v>0</v>
      </c>
      <c r="Q97" s="156" t="e">
        <f t="shared" si="31"/>
        <v>#DIV/0!</v>
      </c>
      <c r="R97" s="157" t="e">
        <f t="shared" si="33"/>
        <v>#DIV/0!</v>
      </c>
      <c r="S97" s="196"/>
    </row>
    <row r="98" spans="1:19" ht="15.75">
      <c r="A98" s="168" t="s">
        <v>19</v>
      </c>
      <c r="B98" s="169"/>
      <c r="C98" s="96">
        <v>350.5</v>
      </c>
      <c r="D98" s="96">
        <f>SUM(E98:P98)</f>
        <v>0</v>
      </c>
      <c r="E98" s="96">
        <f>E97*E96/10</f>
        <v>0</v>
      </c>
      <c r="F98" s="96">
        <f aca="true" t="shared" si="45" ref="F98:P98">F97*F96/10</f>
        <v>0</v>
      </c>
      <c r="G98" s="96">
        <f t="shared" si="45"/>
        <v>0</v>
      </c>
      <c r="H98" s="96">
        <f t="shared" si="45"/>
        <v>0</v>
      </c>
      <c r="I98" s="96">
        <f t="shared" si="45"/>
        <v>0</v>
      </c>
      <c r="J98" s="96">
        <f t="shared" si="45"/>
        <v>0</v>
      </c>
      <c r="K98" s="96">
        <f t="shared" si="45"/>
        <v>0</v>
      </c>
      <c r="L98" s="96">
        <f t="shared" si="45"/>
        <v>0</v>
      </c>
      <c r="M98" s="96">
        <f t="shared" si="45"/>
        <v>0</v>
      </c>
      <c r="N98" s="96">
        <f t="shared" si="45"/>
        <v>0</v>
      </c>
      <c r="O98" s="96">
        <f t="shared" si="45"/>
        <v>0</v>
      </c>
      <c r="P98" s="96">
        <f t="shared" si="45"/>
        <v>0</v>
      </c>
      <c r="Q98" s="171">
        <f t="shared" si="31"/>
        <v>0</v>
      </c>
      <c r="R98" s="160" t="e">
        <f t="shared" si="33"/>
        <v>#DIV/0!</v>
      </c>
      <c r="S98" s="197"/>
    </row>
    <row r="99" spans="1:19" ht="15.75">
      <c r="A99" s="158" t="s">
        <v>29</v>
      </c>
      <c r="B99" s="164">
        <v>161.5</v>
      </c>
      <c r="C99" s="23">
        <v>174</v>
      </c>
      <c r="D99" s="23">
        <f>SUM(E99:P99)</f>
        <v>153.6</v>
      </c>
      <c r="E99" s="182"/>
      <c r="F99" s="182"/>
      <c r="G99" s="182">
        <v>15</v>
      </c>
      <c r="H99" s="182"/>
      <c r="I99" s="182"/>
      <c r="J99" s="182"/>
      <c r="K99" s="182">
        <v>5</v>
      </c>
      <c r="L99" s="182"/>
      <c r="M99" s="182"/>
      <c r="N99" s="182">
        <v>11.9</v>
      </c>
      <c r="O99" s="182">
        <v>96.7</v>
      </c>
      <c r="P99" s="182">
        <v>25</v>
      </c>
      <c r="Q99" s="159">
        <f t="shared" si="31"/>
        <v>88.27586206896552</v>
      </c>
      <c r="R99" s="327">
        <f t="shared" si="33"/>
        <v>95.10835913312692</v>
      </c>
      <c r="S99" s="196"/>
    </row>
    <row r="100" spans="1:19" ht="15.75">
      <c r="A100" s="168" t="s">
        <v>17</v>
      </c>
      <c r="B100" s="169"/>
      <c r="C100" s="96">
        <f>C99</f>
        <v>174</v>
      </c>
      <c r="D100" s="96">
        <f>SUM(E100:P100)</f>
        <v>0</v>
      </c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171">
        <f t="shared" si="31"/>
        <v>0</v>
      </c>
      <c r="R100" s="160" t="e">
        <f t="shared" si="33"/>
        <v>#DIV/0!</v>
      </c>
      <c r="S100" s="197"/>
    </row>
    <row r="101" spans="1:19" ht="15.75">
      <c r="A101" s="155" t="s">
        <v>18</v>
      </c>
      <c r="B101" s="161"/>
      <c r="C101" s="46">
        <v>772.3</v>
      </c>
      <c r="D101" s="46" t="e">
        <f>D102/D100*10</f>
        <v>#DIV/0!</v>
      </c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56" t="e">
        <f t="shared" si="31"/>
        <v>#DIV/0!</v>
      </c>
      <c r="R101" s="157" t="e">
        <f aca="true" t="shared" si="46" ref="R101:R128">D101/B101*100</f>
        <v>#DIV/0!</v>
      </c>
      <c r="S101" s="196"/>
    </row>
    <row r="102" spans="1:19" ht="15.75">
      <c r="A102" s="168" t="s">
        <v>19</v>
      </c>
      <c r="B102" s="169"/>
      <c r="C102" s="96">
        <v>13438</v>
      </c>
      <c r="D102" s="96">
        <f>SUM(E102:P102)</f>
        <v>0</v>
      </c>
      <c r="E102" s="96">
        <f>E101*E100/10</f>
        <v>0</v>
      </c>
      <c r="F102" s="96">
        <f aca="true" t="shared" si="47" ref="F102:P102">F101*F100/10</f>
        <v>0</v>
      </c>
      <c r="G102" s="96">
        <f t="shared" si="47"/>
        <v>0</v>
      </c>
      <c r="H102" s="96">
        <f t="shared" si="47"/>
        <v>0</v>
      </c>
      <c r="I102" s="96">
        <f t="shared" si="47"/>
        <v>0</v>
      </c>
      <c r="J102" s="96">
        <f t="shared" si="47"/>
        <v>0</v>
      </c>
      <c r="K102" s="96">
        <f t="shared" si="47"/>
        <v>0</v>
      </c>
      <c r="L102" s="96">
        <f t="shared" si="47"/>
        <v>0</v>
      </c>
      <c r="M102" s="96">
        <f t="shared" si="47"/>
        <v>0</v>
      </c>
      <c r="N102" s="96">
        <f t="shared" si="47"/>
        <v>0</v>
      </c>
      <c r="O102" s="96">
        <f t="shared" si="47"/>
        <v>0</v>
      </c>
      <c r="P102" s="96">
        <f t="shared" si="47"/>
        <v>0</v>
      </c>
      <c r="Q102" s="171">
        <f t="shared" si="31"/>
        <v>0</v>
      </c>
      <c r="R102" s="160" t="e">
        <f t="shared" si="46"/>
        <v>#DIV/0!</v>
      </c>
      <c r="S102" s="197"/>
    </row>
    <row r="103" spans="1:19" ht="15.75">
      <c r="A103" s="158" t="s">
        <v>153</v>
      </c>
      <c r="B103" s="23">
        <f>B107+B111+B115</f>
        <v>55411.899999999994</v>
      </c>
      <c r="C103" s="23">
        <f>C107+C111+C115</f>
        <v>74966</v>
      </c>
      <c r="D103" s="23">
        <f>SUM(E103:P103)</f>
        <v>25396</v>
      </c>
      <c r="E103" s="23">
        <f aca="true" t="shared" si="48" ref="E103:P103">E107+E111+E115</f>
        <v>3350</v>
      </c>
      <c r="F103" s="23">
        <f t="shared" si="48"/>
        <v>40</v>
      </c>
      <c r="G103" s="23">
        <f t="shared" si="48"/>
        <v>110</v>
      </c>
      <c r="H103" s="23">
        <f t="shared" si="48"/>
        <v>2380</v>
      </c>
      <c r="I103" s="23">
        <f t="shared" si="48"/>
        <v>700</v>
      </c>
      <c r="J103" s="23">
        <f t="shared" si="48"/>
        <v>10300</v>
      </c>
      <c r="K103" s="23">
        <f t="shared" si="48"/>
        <v>7600</v>
      </c>
      <c r="L103" s="23">
        <f t="shared" si="48"/>
        <v>310</v>
      </c>
      <c r="M103" s="23">
        <f t="shared" si="48"/>
        <v>55</v>
      </c>
      <c r="N103" s="23">
        <f t="shared" si="48"/>
        <v>25</v>
      </c>
      <c r="O103" s="23">
        <f t="shared" si="48"/>
        <v>242</v>
      </c>
      <c r="P103" s="23">
        <f t="shared" si="48"/>
        <v>284</v>
      </c>
      <c r="Q103" s="159">
        <f t="shared" si="31"/>
        <v>33.876690766480806</v>
      </c>
      <c r="R103" s="327">
        <f t="shared" si="46"/>
        <v>45.83131060295713</v>
      </c>
      <c r="S103" s="196"/>
    </row>
    <row r="104" spans="1:19" ht="15.75">
      <c r="A104" s="158" t="s">
        <v>17</v>
      </c>
      <c r="B104" s="23">
        <f>B108+B112+B116</f>
        <v>49557.2</v>
      </c>
      <c r="C104" s="23">
        <f>C108+C112+C116</f>
        <v>74966</v>
      </c>
      <c r="D104" s="23">
        <f>SUM(E104:P104)</f>
        <v>25243</v>
      </c>
      <c r="E104" s="23">
        <f aca="true" t="shared" si="49" ref="E104:P104">E108+E112+E116</f>
        <v>3347</v>
      </c>
      <c r="F104" s="23">
        <f t="shared" si="49"/>
        <v>40</v>
      </c>
      <c r="G104" s="23">
        <f t="shared" si="49"/>
        <v>110</v>
      </c>
      <c r="H104" s="23">
        <f t="shared" si="49"/>
        <v>2370</v>
      </c>
      <c r="I104" s="23">
        <f t="shared" si="49"/>
        <v>700</v>
      </c>
      <c r="J104" s="23">
        <f t="shared" si="49"/>
        <v>10260</v>
      </c>
      <c r="K104" s="23">
        <f t="shared" si="49"/>
        <v>7500</v>
      </c>
      <c r="L104" s="23">
        <f t="shared" si="49"/>
        <v>310</v>
      </c>
      <c r="M104" s="23">
        <f t="shared" si="49"/>
        <v>55</v>
      </c>
      <c r="N104" s="23">
        <f t="shared" si="49"/>
        <v>25</v>
      </c>
      <c r="O104" s="23">
        <f t="shared" si="49"/>
        <v>242</v>
      </c>
      <c r="P104" s="23">
        <f t="shared" si="49"/>
        <v>284</v>
      </c>
      <c r="Q104" s="159">
        <f t="shared" si="31"/>
        <v>33.672598244537525</v>
      </c>
      <c r="R104" s="327">
        <f t="shared" si="46"/>
        <v>50.93709894828602</v>
      </c>
      <c r="S104" s="196"/>
    </row>
    <row r="105" spans="1:19" ht="15.75">
      <c r="A105" s="158" t="s">
        <v>18</v>
      </c>
      <c r="B105" s="23">
        <f aca="true" t="shared" si="50" ref="B105:P105">B106/B104*10</f>
        <v>354.9496743157402</v>
      </c>
      <c r="C105" s="23">
        <f t="shared" si="50"/>
        <v>393.05602539818045</v>
      </c>
      <c r="D105" s="23">
        <f t="shared" si="50"/>
        <v>375.5746068216931</v>
      </c>
      <c r="E105" s="23">
        <f t="shared" si="50"/>
        <v>415</v>
      </c>
      <c r="F105" s="23">
        <f t="shared" si="50"/>
        <v>346</v>
      </c>
      <c r="G105" s="23">
        <f t="shared" si="50"/>
        <v>161</v>
      </c>
      <c r="H105" s="23">
        <f t="shared" si="50"/>
        <v>400</v>
      </c>
      <c r="I105" s="23">
        <f t="shared" si="50"/>
        <v>286</v>
      </c>
      <c r="J105" s="23">
        <f t="shared" si="50"/>
        <v>390</v>
      </c>
      <c r="K105" s="23">
        <f t="shared" si="50"/>
        <v>365</v>
      </c>
      <c r="L105" s="23">
        <f t="shared" si="50"/>
        <v>188.2</v>
      </c>
      <c r="M105" s="23">
        <f t="shared" si="50"/>
        <v>167</v>
      </c>
      <c r="N105" s="23">
        <f t="shared" si="50"/>
        <v>185</v>
      </c>
      <c r="O105" s="23">
        <f t="shared" si="50"/>
        <v>194.00000000000003</v>
      </c>
      <c r="P105" s="23">
        <f t="shared" si="50"/>
        <v>189.7</v>
      </c>
      <c r="Q105" s="159">
        <f t="shared" si="31"/>
        <v>95.55243592595279</v>
      </c>
      <c r="R105" s="327">
        <f t="shared" si="46"/>
        <v>105.81066387670674</v>
      </c>
      <c r="S105" s="196"/>
    </row>
    <row r="106" spans="1:19" ht="15.75">
      <c r="A106" s="158" t="s">
        <v>19</v>
      </c>
      <c r="B106" s="23">
        <f>B110+B114+B118</f>
        <v>1759031.2</v>
      </c>
      <c r="C106" s="23">
        <f>C110+C114+C118</f>
        <v>2946583.8</v>
      </c>
      <c r="D106" s="23">
        <f>SUM(E106:P106)</f>
        <v>948062.98</v>
      </c>
      <c r="E106" s="23">
        <f aca="true" t="shared" si="51" ref="E106:P106">E110+E114+E118</f>
        <v>138900.5</v>
      </c>
      <c r="F106" s="23">
        <f t="shared" si="51"/>
        <v>1384</v>
      </c>
      <c r="G106" s="23">
        <f t="shared" si="51"/>
        <v>1771</v>
      </c>
      <c r="H106" s="23">
        <f t="shared" si="51"/>
        <v>94800</v>
      </c>
      <c r="I106" s="23">
        <f t="shared" si="51"/>
        <v>20020</v>
      </c>
      <c r="J106" s="23">
        <f t="shared" si="51"/>
        <v>400140</v>
      </c>
      <c r="K106" s="23">
        <f t="shared" si="51"/>
        <v>273750</v>
      </c>
      <c r="L106" s="23">
        <f t="shared" si="51"/>
        <v>5834.2</v>
      </c>
      <c r="M106" s="23">
        <f t="shared" si="51"/>
        <v>918.5</v>
      </c>
      <c r="N106" s="23">
        <f t="shared" si="51"/>
        <v>462.5</v>
      </c>
      <c r="O106" s="23">
        <f t="shared" si="51"/>
        <v>4694.8</v>
      </c>
      <c r="P106" s="23">
        <f t="shared" si="51"/>
        <v>5387.48</v>
      </c>
      <c r="Q106" s="159">
        <f t="shared" si="31"/>
        <v>32.17498786221522</v>
      </c>
      <c r="R106" s="327">
        <f t="shared" si="46"/>
        <v>53.89688255671645</v>
      </c>
      <c r="S106" s="196"/>
    </row>
    <row r="107" spans="1:19" ht="15.75">
      <c r="A107" s="165" t="s">
        <v>30</v>
      </c>
      <c r="B107" s="172">
        <v>24352</v>
      </c>
      <c r="C107" s="166">
        <v>25241</v>
      </c>
      <c r="D107" s="166">
        <f>SUM(E107:P107)</f>
        <v>25396</v>
      </c>
      <c r="E107" s="173">
        <f>'Vu ĐX 2022-2023'!D39</f>
        <v>3350</v>
      </c>
      <c r="F107" s="173">
        <f>'Vu ĐX 2022-2023'!E39</f>
        <v>40</v>
      </c>
      <c r="G107" s="173">
        <f>'Vu ĐX 2022-2023'!F39</f>
        <v>110</v>
      </c>
      <c r="H107" s="173">
        <f>'Vu ĐX 2022-2023'!G39</f>
        <v>2380</v>
      </c>
      <c r="I107" s="173">
        <f>'Vu ĐX 2022-2023'!H39</f>
        <v>700</v>
      </c>
      <c r="J107" s="173">
        <f>'Vu ĐX 2022-2023'!I39</f>
        <v>10300</v>
      </c>
      <c r="K107" s="173">
        <f>'Vu ĐX 2022-2023'!J39</f>
        <v>7600</v>
      </c>
      <c r="L107" s="173">
        <f>'Vu ĐX 2022-2023'!K39</f>
        <v>310</v>
      </c>
      <c r="M107" s="173">
        <f>'Vu ĐX 2022-2023'!L39</f>
        <v>55</v>
      </c>
      <c r="N107" s="173">
        <f>'Vu ĐX 2022-2023'!M39</f>
        <v>25</v>
      </c>
      <c r="O107" s="173">
        <f>'Vu ĐX 2022-2023'!N39</f>
        <v>242</v>
      </c>
      <c r="P107" s="173">
        <f>'Vu ĐX 2022-2023'!O39</f>
        <v>284</v>
      </c>
      <c r="Q107" s="167">
        <f t="shared" si="31"/>
        <v>100.61408026623351</v>
      </c>
      <c r="R107" s="328">
        <f t="shared" si="46"/>
        <v>104.28712220762155</v>
      </c>
      <c r="S107" s="197"/>
    </row>
    <row r="108" spans="1:19" ht="15.75">
      <c r="A108" s="155" t="s">
        <v>17</v>
      </c>
      <c r="B108" s="161">
        <v>24352</v>
      </c>
      <c r="C108" s="46">
        <f>C107</f>
        <v>25241</v>
      </c>
      <c r="D108" s="46">
        <f>SUM(E108:P108)</f>
        <v>25243</v>
      </c>
      <c r="E108" s="162">
        <f>'Vu ĐX 2022-2023'!D40</f>
        <v>3347</v>
      </c>
      <c r="F108" s="162">
        <f>'Vu ĐX 2022-2023'!E40</f>
        <v>40</v>
      </c>
      <c r="G108" s="162">
        <f>'Vu ĐX 2022-2023'!F40</f>
        <v>110</v>
      </c>
      <c r="H108" s="162">
        <f>'Vu ĐX 2022-2023'!G40</f>
        <v>2370</v>
      </c>
      <c r="I108" s="162">
        <f>'Vu ĐX 2022-2023'!H40</f>
        <v>700</v>
      </c>
      <c r="J108" s="162">
        <f>'Vu ĐX 2022-2023'!I40</f>
        <v>10260</v>
      </c>
      <c r="K108" s="162">
        <f>'Vu ĐX 2022-2023'!J40</f>
        <v>7500</v>
      </c>
      <c r="L108" s="162">
        <f>'Vu ĐX 2022-2023'!K40</f>
        <v>310</v>
      </c>
      <c r="M108" s="162">
        <f>'Vu ĐX 2022-2023'!L40</f>
        <v>55</v>
      </c>
      <c r="N108" s="162">
        <f>'Vu ĐX 2022-2023'!M40</f>
        <v>25</v>
      </c>
      <c r="O108" s="162">
        <f>'Vu ĐX 2022-2023'!N40</f>
        <v>242</v>
      </c>
      <c r="P108" s="162">
        <f>'Vu ĐX 2022-2023'!O40</f>
        <v>284</v>
      </c>
      <c r="Q108" s="156">
        <f t="shared" si="31"/>
        <v>100.0079236163385</v>
      </c>
      <c r="R108" s="157">
        <f t="shared" si="46"/>
        <v>103.65883705650461</v>
      </c>
      <c r="S108" s="196"/>
    </row>
    <row r="109" spans="1:19" ht="12.75" customHeight="1">
      <c r="A109" s="168" t="s">
        <v>18</v>
      </c>
      <c r="B109" s="169">
        <v>344.8</v>
      </c>
      <c r="C109" s="96">
        <v>374.8</v>
      </c>
      <c r="D109" s="96">
        <f>D110/D108*10</f>
        <v>375.5746068216931</v>
      </c>
      <c r="E109" s="174">
        <f>'Vu ĐX 2022-2023'!D41</f>
        <v>415</v>
      </c>
      <c r="F109" s="174">
        <f>'Vu ĐX 2022-2023'!E41</f>
        <v>346</v>
      </c>
      <c r="G109" s="174">
        <f>'Vu ĐX 2022-2023'!F41</f>
        <v>161</v>
      </c>
      <c r="H109" s="174">
        <f>'Vu ĐX 2022-2023'!G41</f>
        <v>400</v>
      </c>
      <c r="I109" s="174">
        <f>'Vu ĐX 2022-2023'!H41</f>
        <v>286</v>
      </c>
      <c r="J109" s="174">
        <f>'Vu ĐX 2022-2023'!I41</f>
        <v>390</v>
      </c>
      <c r="K109" s="174">
        <f>'Vu ĐX 2022-2023'!J41</f>
        <v>365</v>
      </c>
      <c r="L109" s="174">
        <f>'Vu ĐX 2022-2023'!K41</f>
        <v>188.2</v>
      </c>
      <c r="M109" s="174">
        <f>'Vu ĐX 2022-2023'!L41</f>
        <v>167</v>
      </c>
      <c r="N109" s="174">
        <f>'Vu ĐX 2022-2023'!M41</f>
        <v>185</v>
      </c>
      <c r="O109" s="174">
        <f>'Vu ĐX 2022-2023'!N41</f>
        <v>194</v>
      </c>
      <c r="P109" s="174">
        <f>'Vu ĐX 2022-2023'!O41</f>
        <v>189.7</v>
      </c>
      <c r="Q109" s="171">
        <f t="shared" si="31"/>
        <v>100.20667204420842</v>
      </c>
      <c r="R109" s="160">
        <f t="shared" si="46"/>
        <v>108.92535000629151</v>
      </c>
      <c r="S109" s="197"/>
    </row>
    <row r="110" spans="1:19" ht="12.75" customHeight="1">
      <c r="A110" s="155" t="s">
        <v>19</v>
      </c>
      <c r="B110" s="161">
        <v>839685.7</v>
      </c>
      <c r="C110" s="96">
        <v>946122.7</v>
      </c>
      <c r="D110" s="46">
        <f>SUM(E110:P110)</f>
        <v>948062.98</v>
      </c>
      <c r="E110" s="46">
        <f>E109*E108/10</f>
        <v>138900.5</v>
      </c>
      <c r="F110" s="46">
        <f aca="true" t="shared" si="52" ref="F110:P110">F109*F108/10</f>
        <v>1384</v>
      </c>
      <c r="G110" s="46">
        <f t="shared" si="52"/>
        <v>1771</v>
      </c>
      <c r="H110" s="46">
        <f t="shared" si="52"/>
        <v>94800</v>
      </c>
      <c r="I110" s="46">
        <f t="shared" si="52"/>
        <v>20020</v>
      </c>
      <c r="J110" s="46">
        <f t="shared" si="52"/>
        <v>400140</v>
      </c>
      <c r="K110" s="46">
        <f t="shared" si="52"/>
        <v>273750</v>
      </c>
      <c r="L110" s="46">
        <f t="shared" si="52"/>
        <v>5834.2</v>
      </c>
      <c r="M110" s="46">
        <f t="shared" si="52"/>
        <v>918.5</v>
      </c>
      <c r="N110" s="46">
        <f t="shared" si="52"/>
        <v>462.5</v>
      </c>
      <c r="O110" s="46">
        <f t="shared" si="52"/>
        <v>4694.8</v>
      </c>
      <c r="P110" s="46">
        <f t="shared" si="52"/>
        <v>5387.48</v>
      </c>
      <c r="Q110" s="156">
        <f t="shared" si="31"/>
        <v>100.20507699477035</v>
      </c>
      <c r="R110" s="157">
        <f t="shared" si="46"/>
        <v>112.9068864695445</v>
      </c>
      <c r="S110" s="196"/>
    </row>
    <row r="111" spans="1:19" ht="12.75" customHeight="1">
      <c r="A111" s="165" t="s">
        <v>31</v>
      </c>
      <c r="B111" s="172">
        <v>25205.2</v>
      </c>
      <c r="C111" s="166">
        <v>26270</v>
      </c>
      <c r="D111" s="166">
        <f>SUM(E111:P111)</f>
        <v>0</v>
      </c>
      <c r="E111" s="166">
        <f>'Vu HT'!D36</f>
        <v>0</v>
      </c>
      <c r="F111" s="166">
        <f>'Vu HT'!E36</f>
        <v>0</v>
      </c>
      <c r="G111" s="166">
        <f>'Vu HT'!F36</f>
        <v>0</v>
      </c>
      <c r="H111" s="166">
        <f>'Vu HT'!G36</f>
        <v>0</v>
      </c>
      <c r="I111" s="166">
        <f>'Vu HT'!H36</f>
        <v>0</v>
      </c>
      <c r="J111" s="166">
        <f>'Vu HT'!I36</f>
        <v>0</v>
      </c>
      <c r="K111" s="166">
        <f>'Vu HT'!J36</f>
        <v>0</v>
      </c>
      <c r="L111" s="166">
        <f>'Vu HT'!K36</f>
        <v>0</v>
      </c>
      <c r="M111" s="166">
        <f>'Vu HT'!L36</f>
        <v>0</v>
      </c>
      <c r="N111" s="166">
        <f>'Vu HT'!M36</f>
        <v>0</v>
      </c>
      <c r="O111" s="166">
        <f>'Vu HT'!N36</f>
        <v>0</v>
      </c>
      <c r="P111" s="166">
        <f>'Vu HT'!O36</f>
        <v>0</v>
      </c>
      <c r="Q111" s="167">
        <f t="shared" si="31"/>
        <v>0</v>
      </c>
      <c r="R111" s="328">
        <f t="shared" si="46"/>
        <v>0</v>
      </c>
      <c r="S111" s="197"/>
    </row>
    <row r="112" spans="1:19" ht="12.75" customHeight="1">
      <c r="A112" s="155" t="s">
        <v>17</v>
      </c>
      <c r="B112" s="161">
        <v>25205.2</v>
      </c>
      <c r="C112" s="46">
        <f>C111</f>
        <v>26270</v>
      </c>
      <c r="D112" s="46">
        <f>SUM(E112:P112)</f>
        <v>0</v>
      </c>
      <c r="E112" s="46">
        <f>'Vu HT'!D37</f>
        <v>0</v>
      </c>
      <c r="F112" s="46">
        <f>'Vu HT'!E37</f>
        <v>0</v>
      </c>
      <c r="G112" s="46">
        <f>'Vu HT'!F37</f>
        <v>0</v>
      </c>
      <c r="H112" s="46">
        <f>'Vu HT'!G37</f>
        <v>0</v>
      </c>
      <c r="I112" s="46">
        <f>'Vu HT'!H37</f>
        <v>0</v>
      </c>
      <c r="J112" s="46">
        <f>'Vu HT'!I37</f>
        <v>0</v>
      </c>
      <c r="K112" s="46">
        <f>'Vu HT'!J37</f>
        <v>0</v>
      </c>
      <c r="L112" s="46">
        <f>'Vu HT'!K37</f>
        <v>0</v>
      </c>
      <c r="M112" s="46">
        <f>'Vu HT'!L37</f>
        <v>0</v>
      </c>
      <c r="N112" s="46">
        <f>'Vu HT'!M37</f>
        <v>0</v>
      </c>
      <c r="O112" s="46">
        <f>'Vu HT'!N37</f>
        <v>0</v>
      </c>
      <c r="P112" s="46">
        <f>'Vu HT'!O37</f>
        <v>0</v>
      </c>
      <c r="Q112" s="156">
        <f t="shared" si="31"/>
        <v>0</v>
      </c>
      <c r="R112" s="157">
        <f t="shared" si="46"/>
        <v>0</v>
      </c>
      <c r="S112" s="196"/>
    </row>
    <row r="113" spans="1:19" ht="12.75" customHeight="1">
      <c r="A113" s="168" t="s">
        <v>18</v>
      </c>
      <c r="B113" s="169">
        <v>364.7</v>
      </c>
      <c r="C113" s="96">
        <v>407.7</v>
      </c>
      <c r="D113" s="96" t="e">
        <f>D114/D112*10</f>
        <v>#DIV/0!</v>
      </c>
      <c r="E113" s="96">
        <f>'Vu HT'!D38</f>
        <v>0</v>
      </c>
      <c r="F113" s="96">
        <f>'Vu HT'!E38</f>
        <v>0</v>
      </c>
      <c r="G113" s="96">
        <f>'Vu HT'!F38</f>
        <v>0</v>
      </c>
      <c r="H113" s="96">
        <f>'Vu HT'!G38</f>
        <v>0</v>
      </c>
      <c r="I113" s="96">
        <f>'Vu HT'!H38</f>
        <v>0</v>
      </c>
      <c r="J113" s="96">
        <f>'Vu HT'!I38</f>
        <v>0</v>
      </c>
      <c r="K113" s="96">
        <f>'Vu HT'!J38</f>
        <v>0</v>
      </c>
      <c r="L113" s="96">
        <f>'Vu HT'!K38</f>
        <v>0</v>
      </c>
      <c r="M113" s="96">
        <f>'Vu HT'!L38</f>
        <v>0</v>
      </c>
      <c r="N113" s="96">
        <f>'Vu HT'!M38</f>
        <v>0</v>
      </c>
      <c r="O113" s="96">
        <f>'Vu HT'!N38</f>
        <v>0</v>
      </c>
      <c r="P113" s="96">
        <f>'Vu HT'!O38</f>
        <v>0</v>
      </c>
      <c r="Q113" s="171" t="e">
        <f t="shared" si="31"/>
        <v>#DIV/0!</v>
      </c>
      <c r="R113" s="160" t="e">
        <f t="shared" si="46"/>
        <v>#DIV/0!</v>
      </c>
      <c r="S113" s="197"/>
    </row>
    <row r="114" spans="1:19" ht="12.75" customHeight="1">
      <c r="A114" s="155" t="s">
        <v>19</v>
      </c>
      <c r="B114" s="161">
        <v>919345.5</v>
      </c>
      <c r="C114" s="46">
        <v>1071058.5</v>
      </c>
      <c r="D114" s="46">
        <f>SUM(E114:P114)</f>
        <v>0</v>
      </c>
      <c r="E114" s="46">
        <f>E113*E112/10</f>
        <v>0</v>
      </c>
      <c r="F114" s="46">
        <f aca="true" t="shared" si="53" ref="F114:P114">F113*F112/10</f>
        <v>0</v>
      </c>
      <c r="G114" s="46">
        <f t="shared" si="53"/>
        <v>0</v>
      </c>
      <c r="H114" s="46">
        <f t="shared" si="53"/>
        <v>0</v>
      </c>
      <c r="I114" s="46">
        <f t="shared" si="53"/>
        <v>0</v>
      </c>
      <c r="J114" s="46">
        <f t="shared" si="53"/>
        <v>0</v>
      </c>
      <c r="K114" s="46">
        <f t="shared" si="53"/>
        <v>0</v>
      </c>
      <c r="L114" s="46">
        <f t="shared" si="53"/>
        <v>0</v>
      </c>
      <c r="M114" s="46">
        <f t="shared" si="53"/>
        <v>0</v>
      </c>
      <c r="N114" s="46">
        <f t="shared" si="53"/>
        <v>0</v>
      </c>
      <c r="O114" s="46">
        <f t="shared" si="53"/>
        <v>0</v>
      </c>
      <c r="P114" s="46">
        <f t="shared" si="53"/>
        <v>0</v>
      </c>
      <c r="Q114" s="156">
        <f t="shared" si="31"/>
        <v>0</v>
      </c>
      <c r="R114" s="157">
        <f t="shared" si="46"/>
        <v>0</v>
      </c>
      <c r="S114" s="196"/>
    </row>
    <row r="115" spans="1:19" ht="15.75">
      <c r="A115" s="165" t="s">
        <v>32</v>
      </c>
      <c r="B115" s="172">
        <v>5854.7</v>
      </c>
      <c r="C115" s="166">
        <v>23455</v>
      </c>
      <c r="D115" s="166">
        <f>SUM(E115:P115)</f>
        <v>0</v>
      </c>
      <c r="E115" s="166">
        <f>'Vu Mua'!E36</f>
        <v>0</v>
      </c>
      <c r="F115" s="166">
        <f>'Vu Mua'!F36</f>
        <v>0</v>
      </c>
      <c r="G115" s="166">
        <f>'Vu Mua'!G36</f>
        <v>0</v>
      </c>
      <c r="H115" s="166">
        <f>'Vu Mua'!H36</f>
        <v>0</v>
      </c>
      <c r="I115" s="166">
        <f>'Vu Mua'!I36</f>
        <v>0</v>
      </c>
      <c r="J115" s="166">
        <f>'Vu Mua'!J36</f>
        <v>0</v>
      </c>
      <c r="K115" s="166">
        <f>'Vu Mua'!K36</f>
        <v>0</v>
      </c>
      <c r="L115" s="166">
        <f>'Vu Mua'!L36</f>
        <v>0</v>
      </c>
      <c r="M115" s="166">
        <f>'Vu Mua'!M36</f>
        <v>0</v>
      </c>
      <c r="N115" s="166">
        <f>'Vu Mua'!N36</f>
        <v>0</v>
      </c>
      <c r="O115" s="166">
        <f>'Vu Mua'!O36</f>
        <v>0</v>
      </c>
      <c r="P115" s="166">
        <f>'Vu Mua'!P36</f>
        <v>0</v>
      </c>
      <c r="Q115" s="167">
        <f t="shared" si="31"/>
        <v>0</v>
      </c>
      <c r="R115" s="328">
        <f t="shared" si="46"/>
        <v>0</v>
      </c>
      <c r="S115" s="196"/>
    </row>
    <row r="116" spans="1:19" ht="15.75">
      <c r="A116" s="168" t="s">
        <v>17</v>
      </c>
      <c r="B116" s="169"/>
      <c r="C116" s="96">
        <f>C115</f>
        <v>23455</v>
      </c>
      <c r="D116" s="96">
        <f>SUM(E116:P116)</f>
        <v>0</v>
      </c>
      <c r="E116" s="96">
        <f>'Vu Mua'!E37</f>
        <v>0</v>
      </c>
      <c r="F116" s="96">
        <f>'Vu Mua'!F37</f>
        <v>0</v>
      </c>
      <c r="G116" s="96">
        <f>'Vu Mua'!G37</f>
        <v>0</v>
      </c>
      <c r="H116" s="96">
        <f>'Vu Mua'!H37</f>
        <v>0</v>
      </c>
      <c r="I116" s="96">
        <f>'Vu Mua'!I37</f>
        <v>0</v>
      </c>
      <c r="J116" s="96">
        <f>'Vu Mua'!J37</f>
        <v>0</v>
      </c>
      <c r="K116" s="96">
        <f>'Vu Mua'!K37</f>
        <v>0</v>
      </c>
      <c r="L116" s="96">
        <f>'Vu Mua'!L37</f>
        <v>0</v>
      </c>
      <c r="M116" s="96">
        <f>'Vu Mua'!M37</f>
        <v>0</v>
      </c>
      <c r="N116" s="96">
        <f>'Vu Mua'!N37</f>
        <v>0</v>
      </c>
      <c r="O116" s="96">
        <f>'Vu Mua'!O37</f>
        <v>0</v>
      </c>
      <c r="P116" s="96">
        <f>'Vu Mua'!P37</f>
        <v>0</v>
      </c>
      <c r="Q116" s="171">
        <f t="shared" si="31"/>
        <v>0</v>
      </c>
      <c r="R116" s="160" t="e">
        <f t="shared" si="46"/>
        <v>#DIV/0!</v>
      </c>
      <c r="S116" s="197"/>
    </row>
    <row r="117" spans="1:19" ht="15.75">
      <c r="A117" s="155" t="s">
        <v>18</v>
      </c>
      <c r="B117" s="161"/>
      <c r="C117" s="46">
        <v>396.2</v>
      </c>
      <c r="D117" s="46" t="e">
        <f>D118/D116*10</f>
        <v>#DIV/0!</v>
      </c>
      <c r="E117" s="46">
        <f>'Vu Mua'!E38</f>
        <v>0</v>
      </c>
      <c r="F117" s="46">
        <f>'Vu Mua'!F38</f>
        <v>0</v>
      </c>
      <c r="G117" s="46">
        <f>'Vu Mua'!G38</f>
        <v>0</v>
      </c>
      <c r="H117" s="46">
        <f>'Vu Mua'!H38</f>
        <v>0</v>
      </c>
      <c r="I117" s="46">
        <f>'Vu Mua'!I38</f>
        <v>0</v>
      </c>
      <c r="J117" s="46">
        <f>'Vu Mua'!J38</f>
        <v>0</v>
      </c>
      <c r="K117" s="46">
        <f>'Vu Mua'!K38</f>
        <v>0</v>
      </c>
      <c r="L117" s="46">
        <f>'Vu Mua'!L38</f>
        <v>0</v>
      </c>
      <c r="M117" s="46">
        <f>'Vu Mua'!M38</f>
        <v>0</v>
      </c>
      <c r="N117" s="46">
        <f>'Vu Mua'!N38</f>
        <v>0</v>
      </c>
      <c r="O117" s="46">
        <f>'Vu Mua'!O38</f>
        <v>0</v>
      </c>
      <c r="P117" s="46">
        <f>'Vu Mua'!P38</f>
        <v>0</v>
      </c>
      <c r="Q117" s="156" t="e">
        <f t="shared" si="31"/>
        <v>#DIV/0!</v>
      </c>
      <c r="R117" s="157" t="e">
        <f t="shared" si="46"/>
        <v>#DIV/0!</v>
      </c>
      <c r="S117" s="196"/>
    </row>
    <row r="118" spans="1:19" ht="15.75">
      <c r="A118" s="168" t="s">
        <v>19</v>
      </c>
      <c r="B118" s="169"/>
      <c r="C118" s="96">
        <v>929402.6</v>
      </c>
      <c r="D118" s="96">
        <f>SUM(E118:P118)</f>
        <v>0</v>
      </c>
      <c r="E118" s="96">
        <f>E117*E116/10</f>
        <v>0</v>
      </c>
      <c r="F118" s="96">
        <f aca="true" t="shared" si="54" ref="F118:P118">F117*F116/10</f>
        <v>0</v>
      </c>
      <c r="G118" s="96">
        <f t="shared" si="54"/>
        <v>0</v>
      </c>
      <c r="H118" s="96">
        <f t="shared" si="54"/>
        <v>0</v>
      </c>
      <c r="I118" s="96">
        <f t="shared" si="54"/>
        <v>0</v>
      </c>
      <c r="J118" s="96">
        <f t="shared" si="54"/>
        <v>0</v>
      </c>
      <c r="K118" s="96">
        <f t="shared" si="54"/>
        <v>0</v>
      </c>
      <c r="L118" s="96">
        <f t="shared" si="54"/>
        <v>0</v>
      </c>
      <c r="M118" s="96">
        <f t="shared" si="54"/>
        <v>0</v>
      </c>
      <c r="N118" s="96">
        <f t="shared" si="54"/>
        <v>0</v>
      </c>
      <c r="O118" s="96">
        <f t="shared" si="54"/>
        <v>0</v>
      </c>
      <c r="P118" s="96">
        <f t="shared" si="54"/>
        <v>0</v>
      </c>
      <c r="Q118" s="171">
        <f t="shared" si="31"/>
        <v>0</v>
      </c>
      <c r="R118" s="160" t="e">
        <f t="shared" si="46"/>
        <v>#DIV/0!</v>
      </c>
      <c r="S118" s="197"/>
    </row>
    <row r="119" spans="1:19" ht="15.75">
      <c r="A119" s="158" t="s">
        <v>154</v>
      </c>
      <c r="B119" s="23">
        <f>B123+B127+B131</f>
        <v>7216.099999999999</v>
      </c>
      <c r="C119" s="23">
        <f>C123+C127+C131</f>
        <v>9898</v>
      </c>
      <c r="D119" s="23">
        <f>SUM(E119:P119)</f>
        <v>3796</v>
      </c>
      <c r="E119" s="23">
        <f aca="true" t="shared" si="55" ref="E119:P120">E123+E127+E131</f>
        <v>2150</v>
      </c>
      <c r="F119" s="23">
        <f t="shared" si="55"/>
        <v>7</v>
      </c>
      <c r="G119" s="23">
        <f t="shared" si="55"/>
        <v>0</v>
      </c>
      <c r="H119" s="23">
        <f t="shared" si="55"/>
        <v>738</v>
      </c>
      <c r="I119" s="23">
        <f t="shared" si="55"/>
        <v>135</v>
      </c>
      <c r="J119" s="23">
        <f t="shared" si="55"/>
        <v>167</v>
      </c>
      <c r="K119" s="23">
        <f t="shared" si="55"/>
        <v>570</v>
      </c>
      <c r="L119" s="23">
        <f t="shared" si="55"/>
        <v>29</v>
      </c>
      <c r="M119" s="23">
        <f t="shared" si="55"/>
        <v>0</v>
      </c>
      <c r="N119" s="23">
        <f t="shared" si="55"/>
        <v>0</v>
      </c>
      <c r="O119" s="23">
        <f t="shared" si="55"/>
        <v>0</v>
      </c>
      <c r="P119" s="23">
        <f t="shared" si="55"/>
        <v>0</v>
      </c>
      <c r="Q119" s="159">
        <f t="shared" si="31"/>
        <v>38.35118205698121</v>
      </c>
      <c r="R119" s="327">
        <f t="shared" si="46"/>
        <v>52.604592508418676</v>
      </c>
      <c r="S119" s="196"/>
    </row>
    <row r="120" spans="1:19" ht="15.75">
      <c r="A120" s="158" t="s">
        <v>17</v>
      </c>
      <c r="B120" s="23">
        <f>B124+B128+B132</f>
        <v>6778.7</v>
      </c>
      <c r="C120" s="23">
        <f>C124+C128+C132</f>
        <v>9898</v>
      </c>
      <c r="D120" s="23">
        <f>SUM(E120:P120)</f>
        <v>3796</v>
      </c>
      <c r="E120" s="23">
        <f t="shared" si="55"/>
        <v>2150</v>
      </c>
      <c r="F120" s="23">
        <f t="shared" si="55"/>
        <v>7</v>
      </c>
      <c r="G120" s="23">
        <f t="shared" si="55"/>
        <v>0</v>
      </c>
      <c r="H120" s="23">
        <f t="shared" si="55"/>
        <v>738</v>
      </c>
      <c r="I120" s="23">
        <f t="shared" si="55"/>
        <v>135</v>
      </c>
      <c r="J120" s="23">
        <f t="shared" si="55"/>
        <v>167</v>
      </c>
      <c r="K120" s="23">
        <f t="shared" si="55"/>
        <v>570</v>
      </c>
      <c r="L120" s="23">
        <f t="shared" si="55"/>
        <v>29</v>
      </c>
      <c r="M120" s="23">
        <f t="shared" si="55"/>
        <v>0</v>
      </c>
      <c r="N120" s="23">
        <f t="shared" si="55"/>
        <v>0</v>
      </c>
      <c r="O120" s="23">
        <f t="shared" si="55"/>
        <v>0</v>
      </c>
      <c r="P120" s="23">
        <f t="shared" si="55"/>
        <v>0</v>
      </c>
      <c r="Q120" s="159">
        <f t="shared" si="31"/>
        <v>38.35118205698121</v>
      </c>
      <c r="R120" s="327">
        <f t="shared" si="46"/>
        <v>55.99893784944015</v>
      </c>
      <c r="S120" s="196"/>
    </row>
    <row r="121" spans="1:19" ht="15.75">
      <c r="A121" s="158" t="s">
        <v>33</v>
      </c>
      <c r="B121" s="23">
        <f aca="true" t="shared" si="56" ref="B121:P121">B122/B120</f>
        <v>358.831368846534</v>
      </c>
      <c r="C121" s="23">
        <f t="shared" si="56"/>
        <v>403.65058597696503</v>
      </c>
      <c r="D121" s="23">
        <f t="shared" si="56"/>
        <v>392.9486301369863</v>
      </c>
      <c r="E121" s="23">
        <f t="shared" si="56"/>
        <v>400</v>
      </c>
      <c r="F121" s="23">
        <f t="shared" si="56"/>
        <v>249</v>
      </c>
      <c r="G121" s="23" t="e">
        <f t="shared" si="56"/>
        <v>#DIV/0!</v>
      </c>
      <c r="H121" s="23">
        <f t="shared" si="56"/>
        <v>400</v>
      </c>
      <c r="I121" s="23">
        <f t="shared" si="56"/>
        <v>320</v>
      </c>
      <c r="J121" s="23">
        <f t="shared" si="56"/>
        <v>390</v>
      </c>
      <c r="K121" s="23">
        <f t="shared" si="56"/>
        <v>390</v>
      </c>
      <c r="L121" s="23">
        <f t="shared" si="56"/>
        <v>140</v>
      </c>
      <c r="M121" s="23" t="e">
        <f t="shared" si="56"/>
        <v>#DIV/0!</v>
      </c>
      <c r="N121" s="23" t="e">
        <f t="shared" si="56"/>
        <v>#DIV/0!</v>
      </c>
      <c r="O121" s="23" t="e">
        <f t="shared" si="56"/>
        <v>#DIV/0!</v>
      </c>
      <c r="P121" s="23" t="e">
        <f t="shared" si="56"/>
        <v>#DIV/0!</v>
      </c>
      <c r="Q121" s="159">
        <f t="shared" si="31"/>
        <v>97.34870796382556</v>
      </c>
      <c r="R121" s="327">
        <f t="shared" si="46"/>
        <v>109.50788148765322</v>
      </c>
      <c r="S121" s="196"/>
    </row>
    <row r="122" spans="1:19" ht="15.75">
      <c r="A122" s="158" t="s">
        <v>34</v>
      </c>
      <c r="B122" s="23">
        <f>B126+B130+B134</f>
        <v>2432410.2</v>
      </c>
      <c r="C122" s="23">
        <f>C126+C130+C134</f>
        <v>3995333.5</v>
      </c>
      <c r="D122" s="23">
        <f>SUM(E122:P122)</f>
        <v>1491633</v>
      </c>
      <c r="E122" s="23">
        <f aca="true" t="shared" si="57" ref="E122:P122">E126+E130+E134</f>
        <v>860000</v>
      </c>
      <c r="F122" s="23">
        <f t="shared" si="57"/>
        <v>1743</v>
      </c>
      <c r="G122" s="23">
        <f t="shared" si="57"/>
        <v>0</v>
      </c>
      <c r="H122" s="23">
        <f t="shared" si="57"/>
        <v>295200</v>
      </c>
      <c r="I122" s="23">
        <f t="shared" si="57"/>
        <v>43200</v>
      </c>
      <c r="J122" s="23">
        <f t="shared" si="57"/>
        <v>65130</v>
      </c>
      <c r="K122" s="23">
        <f t="shared" si="57"/>
        <v>222300</v>
      </c>
      <c r="L122" s="23">
        <f t="shared" si="57"/>
        <v>4060</v>
      </c>
      <c r="M122" s="23">
        <f t="shared" si="57"/>
        <v>0</v>
      </c>
      <c r="N122" s="23">
        <f t="shared" si="57"/>
        <v>0</v>
      </c>
      <c r="O122" s="23">
        <f t="shared" si="57"/>
        <v>0</v>
      </c>
      <c r="P122" s="23">
        <f t="shared" si="57"/>
        <v>0</v>
      </c>
      <c r="Q122" s="159">
        <f t="shared" si="31"/>
        <v>37.3343802213257</v>
      </c>
      <c r="R122" s="327">
        <f t="shared" si="46"/>
        <v>61.323250494509516</v>
      </c>
      <c r="S122" s="196"/>
    </row>
    <row r="123" spans="1:19" ht="15.75">
      <c r="A123" s="165" t="s">
        <v>35</v>
      </c>
      <c r="B123" s="172">
        <v>3614</v>
      </c>
      <c r="C123" s="166">
        <v>3634</v>
      </c>
      <c r="D123" s="166">
        <f>SUM(E123:P123)</f>
        <v>3796</v>
      </c>
      <c r="E123" s="173">
        <f>'Vu ĐX 2022-2023'!D48</f>
        <v>2150</v>
      </c>
      <c r="F123" s="173">
        <f>'Vu ĐX 2022-2023'!E48</f>
        <v>7</v>
      </c>
      <c r="G123" s="173">
        <f>'Vu ĐX 2022-2023'!F48</f>
        <v>0</v>
      </c>
      <c r="H123" s="173">
        <f>'Vu ĐX 2022-2023'!G48</f>
        <v>738</v>
      </c>
      <c r="I123" s="173">
        <f>'Vu ĐX 2022-2023'!H48</f>
        <v>135</v>
      </c>
      <c r="J123" s="173">
        <f>'Vu ĐX 2022-2023'!I48</f>
        <v>167</v>
      </c>
      <c r="K123" s="173">
        <f>'Vu ĐX 2022-2023'!J48</f>
        <v>570</v>
      </c>
      <c r="L123" s="173">
        <f>'Vu ĐX 2022-2023'!K48</f>
        <v>29</v>
      </c>
      <c r="M123" s="173">
        <f>'Vu ĐX 2022-2023'!L48</f>
        <v>0</v>
      </c>
      <c r="N123" s="173">
        <f>'Vu ĐX 2022-2023'!M48</f>
        <v>0</v>
      </c>
      <c r="O123" s="173">
        <f>'Vu ĐX 2022-2023'!N48</f>
        <v>0</v>
      </c>
      <c r="P123" s="173">
        <f>'Vu ĐX 2022-2023'!O48</f>
        <v>0</v>
      </c>
      <c r="Q123" s="167">
        <f t="shared" si="31"/>
        <v>104.45789763346176</v>
      </c>
      <c r="R123" s="328">
        <f t="shared" si="46"/>
        <v>105.03597122302158</v>
      </c>
      <c r="S123" s="197"/>
    </row>
    <row r="124" spans="1:19" ht="15.75">
      <c r="A124" s="155" t="s">
        <v>17</v>
      </c>
      <c r="B124" s="161">
        <v>3614</v>
      </c>
      <c r="C124" s="46">
        <f>C123</f>
        <v>3634</v>
      </c>
      <c r="D124" s="46">
        <f>SUM(E124:P124)</f>
        <v>3796</v>
      </c>
      <c r="E124" s="173">
        <f>'Vu ĐX 2022-2023'!D49</f>
        <v>2150</v>
      </c>
      <c r="F124" s="173">
        <f>'Vu ĐX 2022-2023'!E49</f>
        <v>7</v>
      </c>
      <c r="G124" s="173">
        <f>'Vu ĐX 2022-2023'!F49</f>
        <v>0</v>
      </c>
      <c r="H124" s="173">
        <f>'Vu ĐX 2022-2023'!G49</f>
        <v>738</v>
      </c>
      <c r="I124" s="173">
        <f>'Vu ĐX 2022-2023'!H49</f>
        <v>135</v>
      </c>
      <c r="J124" s="173">
        <f>'Vu ĐX 2022-2023'!I49</f>
        <v>167</v>
      </c>
      <c r="K124" s="173">
        <f>'Vu ĐX 2022-2023'!J49</f>
        <v>570</v>
      </c>
      <c r="L124" s="173">
        <f>'Vu ĐX 2022-2023'!K49</f>
        <v>29</v>
      </c>
      <c r="M124" s="173">
        <f>'Vu ĐX 2022-2023'!L49</f>
        <v>0</v>
      </c>
      <c r="N124" s="173">
        <f>'Vu ĐX 2022-2023'!M49</f>
        <v>0</v>
      </c>
      <c r="O124" s="173">
        <f>'Vu ĐX 2022-2023'!N49</f>
        <v>0</v>
      </c>
      <c r="P124" s="173">
        <f>'Vu ĐX 2022-2023'!O49</f>
        <v>0</v>
      </c>
      <c r="Q124" s="171">
        <f t="shared" si="31"/>
        <v>104.45789763346176</v>
      </c>
      <c r="R124" s="160">
        <f t="shared" si="46"/>
        <v>105.03597122302158</v>
      </c>
      <c r="S124" s="197"/>
    </row>
    <row r="125" spans="1:19" ht="15.75">
      <c r="A125" s="155" t="s">
        <v>33</v>
      </c>
      <c r="B125" s="161">
        <v>372.2</v>
      </c>
      <c r="C125" s="46">
        <v>410.5</v>
      </c>
      <c r="D125" s="46">
        <f>D126/D124</f>
        <v>392.9486301369863</v>
      </c>
      <c r="E125" s="162">
        <f>'Vu ĐX 2022-2023'!D50</f>
        <v>400</v>
      </c>
      <c r="F125" s="162">
        <f>'Vu ĐX 2022-2023'!E50</f>
        <v>249</v>
      </c>
      <c r="G125" s="162">
        <f>'Vu ĐX 2022-2023'!F50</f>
        <v>0</v>
      </c>
      <c r="H125" s="162">
        <f>'Vu ĐX 2022-2023'!G50</f>
        <v>400</v>
      </c>
      <c r="I125" s="162">
        <f>'Vu ĐX 2022-2023'!H50</f>
        <v>320</v>
      </c>
      <c r="J125" s="162">
        <f>'Vu ĐX 2022-2023'!I50</f>
        <v>390</v>
      </c>
      <c r="K125" s="162">
        <f>'Vu ĐX 2022-2023'!J50</f>
        <v>390</v>
      </c>
      <c r="L125" s="162">
        <f>'Vu ĐX 2022-2023'!K50</f>
        <v>140</v>
      </c>
      <c r="M125" s="162">
        <f>'Vu ĐX 2022-2023'!L50</f>
        <v>0</v>
      </c>
      <c r="N125" s="162">
        <f>'Vu ĐX 2022-2023'!M50</f>
        <v>0</v>
      </c>
      <c r="O125" s="162">
        <f>'Vu ĐX 2022-2023'!N50</f>
        <v>0</v>
      </c>
      <c r="P125" s="162">
        <f>'Vu ĐX 2022-2023'!O50</f>
        <v>0</v>
      </c>
      <c r="Q125" s="156">
        <f t="shared" si="31"/>
        <v>95.7243922379991</v>
      </c>
      <c r="R125" s="157">
        <f t="shared" si="46"/>
        <v>105.57459165421447</v>
      </c>
      <c r="S125" s="196"/>
    </row>
    <row r="126" spans="1:19" ht="15.75">
      <c r="A126" s="168" t="s">
        <v>34</v>
      </c>
      <c r="B126" s="169">
        <v>1345083.2</v>
      </c>
      <c r="C126" s="46">
        <v>1491767.5</v>
      </c>
      <c r="D126" s="96">
        <f>SUM(E126:P126)</f>
        <v>1491633</v>
      </c>
      <c r="E126" s="96">
        <f>E125*E124</f>
        <v>860000</v>
      </c>
      <c r="F126" s="96">
        <f>F125*F124</f>
        <v>1743</v>
      </c>
      <c r="G126" s="96">
        <f>G125*G124</f>
        <v>0</v>
      </c>
      <c r="H126" s="96">
        <f aca="true" t="shared" si="58" ref="H126:P126">H125*H124</f>
        <v>295200</v>
      </c>
      <c r="I126" s="96">
        <f t="shared" si="58"/>
        <v>43200</v>
      </c>
      <c r="J126" s="96">
        <f t="shared" si="58"/>
        <v>65130</v>
      </c>
      <c r="K126" s="96">
        <f t="shared" si="58"/>
        <v>222300</v>
      </c>
      <c r="L126" s="96">
        <f t="shared" si="58"/>
        <v>4060</v>
      </c>
      <c r="M126" s="96">
        <f t="shared" si="58"/>
        <v>0</v>
      </c>
      <c r="N126" s="96">
        <f t="shared" si="58"/>
        <v>0</v>
      </c>
      <c r="O126" s="96">
        <f t="shared" si="58"/>
        <v>0</v>
      </c>
      <c r="P126" s="96">
        <f t="shared" si="58"/>
        <v>0</v>
      </c>
      <c r="Q126" s="171">
        <f t="shared" si="31"/>
        <v>99.99098384969508</v>
      </c>
      <c r="R126" s="160">
        <f t="shared" si="46"/>
        <v>110.895221946122</v>
      </c>
      <c r="S126" s="197"/>
    </row>
    <row r="127" spans="1:19" ht="15.75">
      <c r="A127" s="165" t="s">
        <v>36</v>
      </c>
      <c r="B127" s="172">
        <v>3164.7</v>
      </c>
      <c r="C127" s="166">
        <v>3076</v>
      </c>
      <c r="D127" s="166">
        <f>SUM(E127:P127)</f>
        <v>0</v>
      </c>
      <c r="E127" s="166">
        <f>'Vu HT'!D41</f>
        <v>0</v>
      </c>
      <c r="F127" s="166">
        <f>'Vu HT'!E41</f>
        <v>0</v>
      </c>
      <c r="G127" s="166">
        <f>'Vu HT'!F41</f>
        <v>0</v>
      </c>
      <c r="H127" s="166">
        <f>'Vu HT'!G41</f>
        <v>0</v>
      </c>
      <c r="I127" s="166">
        <f>'Vu HT'!H41</f>
        <v>0</v>
      </c>
      <c r="J127" s="166">
        <f>'Vu HT'!I41</f>
        <v>0</v>
      </c>
      <c r="K127" s="166">
        <f>'Vu HT'!J41</f>
        <v>0</v>
      </c>
      <c r="L127" s="166">
        <f>'Vu HT'!K41</f>
        <v>0</v>
      </c>
      <c r="M127" s="166">
        <f>'Vu HT'!L41</f>
        <v>0</v>
      </c>
      <c r="N127" s="166">
        <f>'Vu HT'!M41</f>
        <v>0</v>
      </c>
      <c r="O127" s="166">
        <f>'Vu HT'!N41</f>
        <v>0</v>
      </c>
      <c r="P127" s="166">
        <f>'Vu HT'!O41</f>
        <v>0</v>
      </c>
      <c r="Q127" s="167">
        <f aca="true" t="shared" si="59" ref="Q127:Q192">D127/C127*100</f>
        <v>0</v>
      </c>
      <c r="R127" s="328">
        <f t="shared" si="46"/>
        <v>0</v>
      </c>
      <c r="S127" s="197"/>
    </row>
    <row r="128" spans="1:19" ht="15.75">
      <c r="A128" s="155" t="s">
        <v>17</v>
      </c>
      <c r="B128" s="161">
        <v>3164.7</v>
      </c>
      <c r="C128" s="46">
        <f>C127</f>
        <v>3076</v>
      </c>
      <c r="D128" s="46">
        <f>SUM(E128:P128)</f>
        <v>0</v>
      </c>
      <c r="E128" s="46">
        <f>'Vu HT'!D42</f>
        <v>0</v>
      </c>
      <c r="F128" s="46">
        <f>'Vu HT'!E42</f>
        <v>0</v>
      </c>
      <c r="G128" s="46">
        <f>'Vu HT'!F42</f>
        <v>0</v>
      </c>
      <c r="H128" s="46">
        <f>'Vu HT'!G42</f>
        <v>0</v>
      </c>
      <c r="I128" s="46">
        <f>'Vu HT'!H42</f>
        <v>0</v>
      </c>
      <c r="J128" s="46">
        <f>'Vu HT'!I42</f>
        <v>0</v>
      </c>
      <c r="K128" s="46">
        <f>'Vu HT'!J42</f>
        <v>0</v>
      </c>
      <c r="L128" s="46">
        <f>'Vu HT'!K42</f>
        <v>0</v>
      </c>
      <c r="M128" s="46">
        <f>'Vu HT'!L42</f>
        <v>0</v>
      </c>
      <c r="N128" s="46">
        <f>'Vu HT'!M42</f>
        <v>0</v>
      </c>
      <c r="O128" s="46">
        <f>'Vu HT'!N42</f>
        <v>0</v>
      </c>
      <c r="P128" s="46">
        <f>'Vu HT'!O42</f>
        <v>0</v>
      </c>
      <c r="Q128" s="156">
        <f t="shared" si="59"/>
        <v>0</v>
      </c>
      <c r="R128" s="157">
        <f t="shared" si="46"/>
        <v>0</v>
      </c>
      <c r="S128" s="197"/>
    </row>
    <row r="129" spans="1:19" ht="15.75">
      <c r="A129" s="155" t="s">
        <v>33</v>
      </c>
      <c r="B129" s="161">
        <v>343.6</v>
      </c>
      <c r="C129" s="46">
        <v>390.4</v>
      </c>
      <c r="D129" s="46" t="e">
        <f>D130/D128</f>
        <v>#DIV/0!</v>
      </c>
      <c r="E129" s="46">
        <f>'Vu HT'!D43</f>
        <v>0</v>
      </c>
      <c r="F129" s="46">
        <f>'Vu HT'!E43</f>
        <v>0</v>
      </c>
      <c r="G129" s="46">
        <f>'Vu HT'!F43</f>
        <v>0</v>
      </c>
      <c r="H129" s="46">
        <f>'Vu HT'!G43</f>
        <v>0</v>
      </c>
      <c r="I129" s="46">
        <f>'Vu HT'!H43</f>
        <v>0</v>
      </c>
      <c r="J129" s="46">
        <f>'Vu HT'!I43</f>
        <v>0</v>
      </c>
      <c r="K129" s="46">
        <f>'Vu HT'!J43</f>
        <v>0</v>
      </c>
      <c r="L129" s="46">
        <f>'Vu HT'!K43</f>
        <v>0</v>
      </c>
      <c r="M129" s="46">
        <f>'Vu HT'!L43</f>
        <v>0</v>
      </c>
      <c r="N129" s="46">
        <f>'Vu HT'!M43</f>
        <v>0</v>
      </c>
      <c r="O129" s="46">
        <f>'Vu HT'!N43</f>
        <v>0</v>
      </c>
      <c r="P129" s="46">
        <f>'Vu HT'!O43</f>
        <v>0</v>
      </c>
      <c r="Q129" s="156" t="e">
        <f t="shared" si="59"/>
        <v>#DIV/0!</v>
      </c>
      <c r="R129" s="157" t="e">
        <f aca="true" t="shared" si="60" ref="R129:R160">D129/B129*100</f>
        <v>#DIV/0!</v>
      </c>
      <c r="S129" s="196"/>
    </row>
    <row r="130" spans="1:19" ht="15.75">
      <c r="A130" s="168" t="s">
        <v>34</v>
      </c>
      <c r="B130" s="169">
        <v>1087327</v>
      </c>
      <c r="C130" s="96">
        <v>1200936</v>
      </c>
      <c r="D130" s="96">
        <f>SUM(E130:P130)</f>
        <v>0</v>
      </c>
      <c r="E130" s="96">
        <f>E129*E128</f>
        <v>0</v>
      </c>
      <c r="F130" s="96">
        <f>F129*F128</f>
        <v>0</v>
      </c>
      <c r="G130" s="96">
        <f aca="true" t="shared" si="61" ref="G130:P130">G129*G128</f>
        <v>0</v>
      </c>
      <c r="H130" s="96">
        <f t="shared" si="61"/>
        <v>0</v>
      </c>
      <c r="I130" s="96">
        <f t="shared" si="61"/>
        <v>0</v>
      </c>
      <c r="J130" s="96">
        <f t="shared" si="61"/>
        <v>0</v>
      </c>
      <c r="K130" s="96">
        <f t="shared" si="61"/>
        <v>0</v>
      </c>
      <c r="L130" s="96">
        <f t="shared" si="61"/>
        <v>0</v>
      </c>
      <c r="M130" s="96">
        <f t="shared" si="61"/>
        <v>0</v>
      </c>
      <c r="N130" s="96">
        <f t="shared" si="61"/>
        <v>0</v>
      </c>
      <c r="O130" s="96">
        <f t="shared" si="61"/>
        <v>0</v>
      </c>
      <c r="P130" s="96">
        <f t="shared" si="61"/>
        <v>0</v>
      </c>
      <c r="Q130" s="171">
        <f t="shared" si="59"/>
        <v>0</v>
      </c>
      <c r="R130" s="160">
        <f t="shared" si="60"/>
        <v>0</v>
      </c>
      <c r="S130" s="197"/>
    </row>
    <row r="131" spans="1:19" ht="15.75">
      <c r="A131" s="165" t="s">
        <v>37</v>
      </c>
      <c r="B131" s="172">
        <v>437.4</v>
      </c>
      <c r="C131" s="166">
        <v>3188</v>
      </c>
      <c r="D131" s="166">
        <f>SUM(E131:P131)</f>
        <v>0</v>
      </c>
      <c r="E131" s="166">
        <f>'Vu Mua'!E41</f>
        <v>0</v>
      </c>
      <c r="F131" s="166">
        <f>'Vu Mua'!F41</f>
        <v>0</v>
      </c>
      <c r="G131" s="166">
        <f>'Vu Mua'!G41</f>
        <v>0</v>
      </c>
      <c r="H131" s="166">
        <f>'Vu Mua'!H41</f>
        <v>0</v>
      </c>
      <c r="I131" s="166">
        <f>'Vu Mua'!I41</f>
        <v>0</v>
      </c>
      <c r="J131" s="166">
        <f>'Vu Mua'!J41</f>
        <v>0</v>
      </c>
      <c r="K131" s="166">
        <f>'Vu Mua'!K41</f>
        <v>0</v>
      </c>
      <c r="L131" s="166">
        <f>'Vu Mua'!L41</f>
        <v>0</v>
      </c>
      <c r="M131" s="166">
        <f>'Vu Mua'!M41</f>
        <v>0</v>
      </c>
      <c r="N131" s="166">
        <f>'Vu Mua'!N41</f>
        <v>0</v>
      </c>
      <c r="O131" s="166">
        <f>'Vu Mua'!O41</f>
        <v>0</v>
      </c>
      <c r="P131" s="166">
        <f>'Vu Mua'!P41</f>
        <v>0</v>
      </c>
      <c r="Q131" s="167">
        <f t="shared" si="59"/>
        <v>0</v>
      </c>
      <c r="R131" s="328">
        <f t="shared" si="60"/>
        <v>0</v>
      </c>
      <c r="S131" s="196"/>
    </row>
    <row r="132" spans="1:19" ht="15.75">
      <c r="A132" s="168" t="s">
        <v>17</v>
      </c>
      <c r="B132" s="111"/>
      <c r="C132" s="96">
        <f>C131</f>
        <v>3188</v>
      </c>
      <c r="D132" s="96">
        <f>SUM(E132:P132)</f>
        <v>0</v>
      </c>
      <c r="E132" s="96">
        <f>'Vu Mua'!E42</f>
        <v>0</v>
      </c>
      <c r="F132" s="96">
        <f>'Vu Mua'!F42</f>
        <v>0</v>
      </c>
      <c r="G132" s="96">
        <f>'Vu Mua'!G42</f>
        <v>0</v>
      </c>
      <c r="H132" s="96">
        <f>'Vu Mua'!H42</f>
        <v>0</v>
      </c>
      <c r="I132" s="96">
        <f>'Vu Mua'!I42</f>
        <v>0</v>
      </c>
      <c r="J132" s="96">
        <f>'Vu Mua'!J42</f>
        <v>0</v>
      </c>
      <c r="K132" s="96">
        <f>'Vu Mua'!K42</f>
        <v>0</v>
      </c>
      <c r="L132" s="96">
        <f>'Vu Mua'!L42</f>
        <v>0</v>
      </c>
      <c r="M132" s="96">
        <f>'Vu Mua'!M42</f>
        <v>0</v>
      </c>
      <c r="N132" s="96">
        <f>'Vu Mua'!N42</f>
        <v>0</v>
      </c>
      <c r="O132" s="96">
        <f>'Vu Mua'!O42</f>
        <v>0</v>
      </c>
      <c r="P132" s="96">
        <f>'Vu Mua'!P42</f>
        <v>0</v>
      </c>
      <c r="Q132" s="171">
        <f t="shared" si="59"/>
        <v>0</v>
      </c>
      <c r="R132" s="160" t="e">
        <f t="shared" si="60"/>
        <v>#DIV/0!</v>
      </c>
      <c r="S132" s="197"/>
    </row>
    <row r="133" spans="1:19" ht="15.75">
      <c r="A133" s="155" t="s">
        <v>33</v>
      </c>
      <c r="B133" s="58"/>
      <c r="C133" s="46">
        <v>408.6</v>
      </c>
      <c r="D133" s="46" t="e">
        <f>D134/D132</f>
        <v>#DIV/0!</v>
      </c>
      <c r="E133" s="46">
        <f>'Vu Mua'!E43</f>
        <v>0</v>
      </c>
      <c r="F133" s="46">
        <f>'Vu Mua'!F43</f>
        <v>0</v>
      </c>
      <c r="G133" s="46">
        <f>'Vu Mua'!G43</f>
        <v>0</v>
      </c>
      <c r="H133" s="46">
        <f>'Vu Mua'!H43</f>
        <v>0</v>
      </c>
      <c r="I133" s="46">
        <f>'Vu Mua'!I43</f>
        <v>0</v>
      </c>
      <c r="J133" s="46">
        <f>'Vu Mua'!J43</f>
        <v>0</v>
      </c>
      <c r="K133" s="46">
        <f>'Vu Mua'!K43</f>
        <v>0</v>
      </c>
      <c r="L133" s="46">
        <f>'Vu Mua'!L43</f>
        <v>0</v>
      </c>
      <c r="M133" s="46">
        <f>'Vu Mua'!M43</f>
        <v>0</v>
      </c>
      <c r="N133" s="46">
        <f>'Vu Mua'!N43</f>
        <v>0</v>
      </c>
      <c r="O133" s="46">
        <f>'Vu Mua'!O43</f>
        <v>0</v>
      </c>
      <c r="P133" s="46">
        <f>'Vu Mua'!P43</f>
        <v>0</v>
      </c>
      <c r="Q133" s="156" t="e">
        <f t="shared" si="59"/>
        <v>#DIV/0!</v>
      </c>
      <c r="R133" s="157" t="e">
        <f t="shared" si="60"/>
        <v>#DIV/0!</v>
      </c>
      <c r="S133" s="196"/>
    </row>
    <row r="134" spans="1:19" ht="15.75">
      <c r="A134" s="168" t="s">
        <v>34</v>
      </c>
      <c r="B134" s="111"/>
      <c r="C134" s="96">
        <v>1302630</v>
      </c>
      <c r="D134" s="96">
        <f>SUM(E134:P134)</f>
        <v>0</v>
      </c>
      <c r="E134" s="96">
        <f>E133*E132</f>
        <v>0</v>
      </c>
      <c r="F134" s="96">
        <f>'Vu HT'!E127</f>
        <v>0</v>
      </c>
      <c r="G134" s="96">
        <f aca="true" t="shared" si="62" ref="G134:P134">G133*G132</f>
        <v>0</v>
      </c>
      <c r="H134" s="96">
        <f t="shared" si="62"/>
        <v>0</v>
      </c>
      <c r="I134" s="96">
        <f t="shared" si="62"/>
        <v>0</v>
      </c>
      <c r="J134" s="96">
        <f t="shared" si="62"/>
        <v>0</v>
      </c>
      <c r="K134" s="96">
        <f t="shared" si="62"/>
        <v>0</v>
      </c>
      <c r="L134" s="96">
        <f t="shared" si="62"/>
        <v>0</v>
      </c>
      <c r="M134" s="96">
        <f t="shared" si="62"/>
        <v>0</v>
      </c>
      <c r="N134" s="96">
        <f t="shared" si="62"/>
        <v>0</v>
      </c>
      <c r="O134" s="96">
        <f t="shared" si="62"/>
        <v>0</v>
      </c>
      <c r="P134" s="96">
        <f t="shared" si="62"/>
        <v>0</v>
      </c>
      <c r="Q134" s="171">
        <f t="shared" si="59"/>
        <v>0</v>
      </c>
      <c r="R134" s="160" t="e">
        <f t="shared" si="60"/>
        <v>#DIV/0!</v>
      </c>
      <c r="S134" s="197"/>
    </row>
    <row r="135" spans="1:19" ht="15.75">
      <c r="A135" s="158" t="s">
        <v>38</v>
      </c>
      <c r="B135" s="57">
        <v>186</v>
      </c>
      <c r="C135" s="23">
        <v>421</v>
      </c>
      <c r="D135" s="23">
        <f>SUM(E135:P135)</f>
        <v>31.5</v>
      </c>
      <c r="E135" s="132"/>
      <c r="F135" s="23"/>
      <c r="G135" s="132"/>
      <c r="H135" s="132">
        <v>31.5</v>
      </c>
      <c r="I135" s="132"/>
      <c r="J135" s="132"/>
      <c r="K135" s="132"/>
      <c r="L135" s="132"/>
      <c r="M135" s="132"/>
      <c r="N135" s="199"/>
      <c r="O135" s="199"/>
      <c r="P135" s="199"/>
      <c r="Q135" s="159">
        <f t="shared" si="59"/>
        <v>7.4821852731591445</v>
      </c>
      <c r="R135" s="327">
        <f t="shared" si="60"/>
        <v>16.93548387096774</v>
      </c>
      <c r="S135" s="196"/>
    </row>
    <row r="136" spans="1:19" ht="15.75">
      <c r="A136" s="168" t="s">
        <v>17</v>
      </c>
      <c r="B136" s="111">
        <v>70</v>
      </c>
      <c r="C136" s="96">
        <f>C135</f>
        <v>421</v>
      </c>
      <c r="D136" s="96">
        <f>SUM(E136:P136)</f>
        <v>16</v>
      </c>
      <c r="E136" s="174"/>
      <c r="F136" s="96"/>
      <c r="G136" s="174"/>
      <c r="H136" s="174">
        <v>16</v>
      </c>
      <c r="I136" s="174"/>
      <c r="J136" s="174"/>
      <c r="K136" s="174"/>
      <c r="L136" s="174"/>
      <c r="M136" s="174"/>
      <c r="N136" s="200"/>
      <c r="O136" s="200"/>
      <c r="P136" s="174"/>
      <c r="Q136" s="171">
        <f t="shared" si="59"/>
        <v>3.800475059382423</v>
      </c>
      <c r="R136" s="160">
        <f t="shared" si="60"/>
        <v>22.857142857142858</v>
      </c>
      <c r="S136" s="197"/>
    </row>
    <row r="137" spans="1:19" ht="15.75">
      <c r="A137" s="155" t="s">
        <v>18</v>
      </c>
      <c r="B137" s="58">
        <v>271.5</v>
      </c>
      <c r="C137" s="46">
        <v>215.7</v>
      </c>
      <c r="D137" s="46">
        <f>D138/D136*10</f>
        <v>246</v>
      </c>
      <c r="E137" s="201"/>
      <c r="F137" s="46"/>
      <c r="G137" s="201"/>
      <c r="H137" s="201">
        <v>246</v>
      </c>
      <c r="I137" s="201"/>
      <c r="J137" s="201"/>
      <c r="K137" s="201"/>
      <c r="L137" s="201"/>
      <c r="M137" s="201"/>
      <c r="N137" s="201"/>
      <c r="O137" s="201"/>
      <c r="P137" s="201"/>
      <c r="Q137" s="156">
        <f t="shared" si="59"/>
        <v>114.04728789986092</v>
      </c>
      <c r="R137" s="157">
        <f t="shared" si="60"/>
        <v>90.60773480662984</v>
      </c>
      <c r="S137" s="196"/>
    </row>
    <row r="138" spans="1:19" ht="15.75">
      <c r="A138" s="168" t="s">
        <v>19</v>
      </c>
      <c r="B138" s="111">
        <v>1900.5</v>
      </c>
      <c r="C138" s="96">
        <v>9079.2</v>
      </c>
      <c r="D138" s="96">
        <f>SUM(E138:P138)</f>
        <v>393.6</v>
      </c>
      <c r="E138" s="96">
        <f>E137*E136/10</f>
        <v>0</v>
      </c>
      <c r="F138" s="96">
        <f aca="true" t="shared" si="63" ref="F138:P138">F137*F136/10</f>
        <v>0</v>
      </c>
      <c r="G138" s="96">
        <f t="shared" si="63"/>
        <v>0</v>
      </c>
      <c r="H138" s="96">
        <f t="shared" si="63"/>
        <v>393.6</v>
      </c>
      <c r="I138" s="96">
        <f t="shared" si="63"/>
        <v>0</v>
      </c>
      <c r="J138" s="96">
        <f t="shared" si="63"/>
        <v>0</v>
      </c>
      <c r="K138" s="96">
        <f t="shared" si="63"/>
        <v>0</v>
      </c>
      <c r="L138" s="96">
        <f t="shared" si="63"/>
        <v>0</v>
      </c>
      <c r="M138" s="96">
        <f t="shared" si="63"/>
        <v>0</v>
      </c>
      <c r="N138" s="96">
        <f t="shared" si="63"/>
        <v>0</v>
      </c>
      <c r="O138" s="96">
        <f t="shared" si="63"/>
        <v>0</v>
      </c>
      <c r="P138" s="96">
        <f t="shared" si="63"/>
        <v>0</v>
      </c>
      <c r="Q138" s="171">
        <f t="shared" si="59"/>
        <v>4.335183716627015</v>
      </c>
      <c r="R138" s="160">
        <f t="shared" si="60"/>
        <v>20.710339384372535</v>
      </c>
      <c r="S138" s="197"/>
    </row>
    <row r="139" spans="1:19" ht="15.75">
      <c r="A139" s="158" t="s">
        <v>39</v>
      </c>
      <c r="B139" s="57">
        <v>202</v>
      </c>
      <c r="C139" s="23">
        <v>220</v>
      </c>
      <c r="D139" s="23">
        <f>SUM(E139:P139)</f>
        <v>212</v>
      </c>
      <c r="E139" s="132">
        <v>160</v>
      </c>
      <c r="F139" s="23"/>
      <c r="G139" s="23"/>
      <c r="H139" s="23">
        <v>52</v>
      </c>
      <c r="I139" s="23"/>
      <c r="J139" s="23"/>
      <c r="K139" s="23"/>
      <c r="L139" s="23"/>
      <c r="M139" s="23"/>
      <c r="N139" s="23"/>
      <c r="O139" s="23"/>
      <c r="P139" s="23"/>
      <c r="Q139" s="159">
        <f t="shared" si="59"/>
        <v>96.36363636363636</v>
      </c>
      <c r="R139" s="327">
        <f t="shared" si="60"/>
        <v>104.95049504950495</v>
      </c>
      <c r="S139" s="196"/>
    </row>
    <row r="140" spans="1:19" ht="15.75">
      <c r="A140" s="168" t="s">
        <v>17</v>
      </c>
      <c r="B140" s="111">
        <v>179</v>
      </c>
      <c r="C140" s="46">
        <f>C139</f>
        <v>220</v>
      </c>
      <c r="D140" s="96">
        <f>SUM(E140:P140)</f>
        <v>212</v>
      </c>
      <c r="E140" s="174">
        <v>160</v>
      </c>
      <c r="F140" s="96"/>
      <c r="G140" s="96"/>
      <c r="H140" s="96">
        <v>52</v>
      </c>
      <c r="I140" s="96"/>
      <c r="J140" s="96"/>
      <c r="K140" s="96"/>
      <c r="L140" s="96"/>
      <c r="M140" s="96"/>
      <c r="N140" s="96"/>
      <c r="O140" s="96"/>
      <c r="P140" s="96"/>
      <c r="Q140" s="171">
        <f t="shared" si="59"/>
        <v>96.36363636363636</v>
      </c>
      <c r="R140" s="160">
        <f t="shared" si="60"/>
        <v>118.43575418994415</v>
      </c>
      <c r="S140" s="197"/>
    </row>
    <row r="141" spans="1:19" ht="15.75">
      <c r="A141" s="155" t="s">
        <v>18</v>
      </c>
      <c r="B141" s="58">
        <v>179.1</v>
      </c>
      <c r="C141" s="46">
        <v>364.8</v>
      </c>
      <c r="D141" s="46">
        <f>D142/D140*10</f>
        <v>366.2452830188679</v>
      </c>
      <c r="E141" s="191">
        <v>379</v>
      </c>
      <c r="F141" s="46"/>
      <c r="G141" s="46"/>
      <c r="H141" s="46">
        <v>327</v>
      </c>
      <c r="I141" s="46"/>
      <c r="J141" s="46"/>
      <c r="K141" s="46"/>
      <c r="L141" s="46"/>
      <c r="M141" s="46"/>
      <c r="N141" s="46"/>
      <c r="O141" s="46"/>
      <c r="P141" s="46"/>
      <c r="Q141" s="156">
        <f t="shared" si="59"/>
        <v>100.39618503806685</v>
      </c>
      <c r="R141" s="157">
        <f t="shared" si="60"/>
        <v>204.49206198708424</v>
      </c>
      <c r="S141" s="196"/>
    </row>
    <row r="142" spans="1:19" ht="15.75">
      <c r="A142" s="168" t="s">
        <v>19</v>
      </c>
      <c r="B142" s="111">
        <v>3206</v>
      </c>
      <c r="C142" s="96">
        <v>8026</v>
      </c>
      <c r="D142" s="96">
        <f aca="true" t="shared" si="64" ref="D142:D150">SUM(E142:P142)</f>
        <v>7764.4</v>
      </c>
      <c r="E142" s="96">
        <f>E141*E140/10</f>
        <v>6064</v>
      </c>
      <c r="F142" s="96"/>
      <c r="G142" s="96">
        <f aca="true" t="shared" si="65" ref="G142:P142">G141*G140/10</f>
        <v>0</v>
      </c>
      <c r="H142" s="96">
        <f t="shared" si="65"/>
        <v>1700.4</v>
      </c>
      <c r="I142" s="96">
        <f t="shared" si="65"/>
        <v>0</v>
      </c>
      <c r="J142" s="96">
        <f t="shared" si="65"/>
        <v>0</v>
      </c>
      <c r="K142" s="96">
        <f t="shared" si="65"/>
        <v>0</v>
      </c>
      <c r="L142" s="96">
        <f t="shared" si="65"/>
        <v>0</v>
      </c>
      <c r="M142" s="96">
        <f t="shared" si="65"/>
        <v>0</v>
      </c>
      <c r="N142" s="96">
        <f t="shared" si="65"/>
        <v>0</v>
      </c>
      <c r="O142" s="96">
        <f t="shared" si="65"/>
        <v>0</v>
      </c>
      <c r="P142" s="96">
        <f t="shared" si="65"/>
        <v>0</v>
      </c>
      <c r="Q142" s="171">
        <f t="shared" si="59"/>
        <v>96.74059307251433</v>
      </c>
      <c r="R142" s="160">
        <f t="shared" si="60"/>
        <v>242.1834061135371</v>
      </c>
      <c r="S142" s="197"/>
    </row>
    <row r="143" spans="1:20" ht="15.75">
      <c r="A143" s="158" t="s">
        <v>40</v>
      </c>
      <c r="B143" s="57">
        <v>2975.1</v>
      </c>
      <c r="C143" s="23">
        <v>3400.9</v>
      </c>
      <c r="D143" s="23">
        <f t="shared" si="64"/>
        <v>3400.9</v>
      </c>
      <c r="E143" s="132"/>
      <c r="F143" s="96">
        <v>0</v>
      </c>
      <c r="G143" s="132">
        <v>58</v>
      </c>
      <c r="H143" s="132">
        <v>0</v>
      </c>
      <c r="I143" s="132">
        <v>194.7</v>
      </c>
      <c r="J143" s="132">
        <v>875</v>
      </c>
      <c r="K143" s="132">
        <v>430</v>
      </c>
      <c r="L143" s="132">
        <v>120</v>
      </c>
      <c r="M143" s="132">
        <v>15</v>
      </c>
      <c r="N143" s="199">
        <v>98.2</v>
      </c>
      <c r="O143" s="199">
        <v>1100</v>
      </c>
      <c r="P143" s="199">
        <v>510</v>
      </c>
      <c r="Q143" s="159">
        <f t="shared" si="59"/>
        <v>100</v>
      </c>
      <c r="R143" s="327">
        <f t="shared" si="60"/>
        <v>114.31212396221977</v>
      </c>
      <c r="S143" s="196"/>
      <c r="T143" s="85"/>
    </row>
    <row r="144" spans="1:19" ht="15.75">
      <c r="A144" s="158" t="s">
        <v>55</v>
      </c>
      <c r="B144" s="57">
        <v>345</v>
      </c>
      <c r="C144" s="23">
        <v>251.8</v>
      </c>
      <c r="D144" s="23">
        <f t="shared" si="64"/>
        <v>243.8</v>
      </c>
      <c r="E144" s="132">
        <v>1</v>
      </c>
      <c r="F144" s="23"/>
      <c r="G144" s="132">
        <v>66.5</v>
      </c>
      <c r="H144" s="132">
        <v>3</v>
      </c>
      <c r="I144" s="132">
        <v>111.4</v>
      </c>
      <c r="J144" s="132"/>
      <c r="K144" s="132">
        <v>30</v>
      </c>
      <c r="L144" s="132"/>
      <c r="M144" s="132"/>
      <c r="N144" s="202">
        <v>31.9</v>
      </c>
      <c r="O144" s="199"/>
      <c r="P144" s="199"/>
      <c r="Q144" s="159">
        <f t="shared" si="59"/>
        <v>96.82287529785543</v>
      </c>
      <c r="R144" s="327">
        <f t="shared" si="60"/>
        <v>70.66666666666667</v>
      </c>
      <c r="S144" s="196"/>
    </row>
    <row r="145" spans="1:19" ht="15.75">
      <c r="A145" s="153" t="s">
        <v>41</v>
      </c>
      <c r="B145" s="190">
        <f>B146+B160+B165+B174+B179+B185+B190+B195+B197+B204+B209</f>
        <v>263775.1</v>
      </c>
      <c r="C145" s="392">
        <f>C146+C160+C165+C174+C179+C185+C190+C195+C197+C204+C209</f>
        <v>269234.60000000003</v>
      </c>
      <c r="D145" s="55">
        <f t="shared" si="64"/>
        <v>267306.35000000003</v>
      </c>
      <c r="E145" s="55">
        <f aca="true" t="shared" si="66" ref="E145:P145">E146+E160+E165+E174+E179+E185+E190+E195+E197+E204+E209</f>
        <v>6116.450000000001</v>
      </c>
      <c r="F145" s="55">
        <f t="shared" si="66"/>
        <v>17985</v>
      </c>
      <c r="G145" s="55">
        <f t="shared" si="66"/>
        <v>16685.1</v>
      </c>
      <c r="H145" s="55">
        <f t="shared" si="66"/>
        <v>6824</v>
      </c>
      <c r="I145" s="55">
        <f t="shared" si="66"/>
        <v>48365.7</v>
      </c>
      <c r="J145" s="55">
        <f t="shared" si="66"/>
        <v>3130.4</v>
      </c>
      <c r="K145" s="55">
        <f t="shared" si="66"/>
        <v>19700.4</v>
      </c>
      <c r="L145" s="55">
        <f t="shared" si="66"/>
        <v>56104.40000000001</v>
      </c>
      <c r="M145" s="55">
        <f t="shared" si="66"/>
        <v>52336.7</v>
      </c>
      <c r="N145" s="55">
        <f t="shared" si="66"/>
        <v>16662.100000000002</v>
      </c>
      <c r="O145" s="55">
        <f t="shared" si="66"/>
        <v>15205.000000000002</v>
      </c>
      <c r="P145" s="55">
        <f t="shared" si="66"/>
        <v>8191.1</v>
      </c>
      <c r="Q145" s="154">
        <f t="shared" si="59"/>
        <v>99.28380304760235</v>
      </c>
      <c r="R145" s="91">
        <f t="shared" si="60"/>
        <v>101.33873515733671</v>
      </c>
      <c r="S145" s="196"/>
    </row>
    <row r="146" spans="1:19" ht="15.75">
      <c r="A146" s="158" t="s">
        <v>155</v>
      </c>
      <c r="B146" s="57">
        <v>173006.8</v>
      </c>
      <c r="C146" s="374">
        <v>172633.7</v>
      </c>
      <c r="D146" s="23">
        <f t="shared" si="64"/>
        <v>172483.8</v>
      </c>
      <c r="E146" s="128">
        <f>'Cay CN dai ngay'!D5</f>
        <v>5156.6</v>
      </c>
      <c r="F146" s="128">
        <f>'Cay CN dai ngay'!E5</f>
        <v>13122</v>
      </c>
      <c r="G146" s="128">
        <f>'Cay CN dai ngay'!F5</f>
        <v>12401.1</v>
      </c>
      <c r="H146" s="128">
        <f>'Cay CN dai ngay'!G5</f>
        <v>5050</v>
      </c>
      <c r="I146" s="128">
        <f>'Cay CN dai ngay'!H5</f>
        <v>39494</v>
      </c>
      <c r="J146" s="128">
        <f>'Cay CN dai ngay'!I5</f>
        <v>1512</v>
      </c>
      <c r="K146" s="128">
        <f>'Cay CN dai ngay'!J5</f>
        <v>15517</v>
      </c>
      <c r="L146" s="128">
        <f>'Cay CN dai ngay'!K5</f>
        <v>44802</v>
      </c>
      <c r="M146" s="128">
        <f>'Cay CN dai ngay'!L5</f>
        <v>33614</v>
      </c>
      <c r="N146" s="128">
        <f>'Cay CN dai ngay'!M5</f>
        <v>520.8</v>
      </c>
      <c r="O146" s="128">
        <f>'Cay CN dai ngay'!N5</f>
        <v>699</v>
      </c>
      <c r="P146" s="128">
        <f>'Cay CN dai ngay'!O5</f>
        <v>595.3</v>
      </c>
      <c r="Q146" s="159">
        <f t="shared" si="59"/>
        <v>99.91316874978638</v>
      </c>
      <c r="R146" s="327">
        <f t="shared" si="60"/>
        <v>99.69769974359389</v>
      </c>
      <c r="S146" s="197"/>
    </row>
    <row r="147" spans="1:19" ht="15.75">
      <c r="A147" s="155" t="s">
        <v>61</v>
      </c>
      <c r="B147" s="58">
        <v>160620.5</v>
      </c>
      <c r="C147" s="233">
        <v>160282.9</v>
      </c>
      <c r="D147" s="46">
        <f t="shared" si="64"/>
        <v>160133</v>
      </c>
      <c r="E147" s="46">
        <f>'Cay CN dai ngay'!D9</f>
        <v>800.2000000000007</v>
      </c>
      <c r="F147" s="46">
        <f>'Cay CN dai ngay'!E9</f>
        <v>13122</v>
      </c>
      <c r="G147" s="46">
        <f>'Cay CN dai ngay'!F9</f>
        <v>12251.1</v>
      </c>
      <c r="H147" s="46">
        <f>'Cay CN dai ngay'!G9</f>
        <v>18.300000000000182</v>
      </c>
      <c r="I147" s="46">
        <f>'Cay CN dai ngay'!H9</f>
        <v>39277</v>
      </c>
      <c r="J147" s="46">
        <f>'Cay CN dai ngay'!I9</f>
        <v>227</v>
      </c>
      <c r="K147" s="46">
        <f>'Cay CN dai ngay'!J9</f>
        <v>14206.3</v>
      </c>
      <c r="L147" s="46">
        <f>'Cay CN dai ngay'!K9</f>
        <v>44802</v>
      </c>
      <c r="M147" s="46">
        <f>'Cay CN dai ngay'!L9</f>
        <v>33614</v>
      </c>
      <c r="N147" s="46">
        <f>'Cay CN dai ngay'!M9</f>
        <v>520.8</v>
      </c>
      <c r="O147" s="46">
        <f>'Cay CN dai ngay'!N9</f>
        <v>699</v>
      </c>
      <c r="P147" s="46">
        <f>'Cay CN dai ngay'!O9</f>
        <v>595.3</v>
      </c>
      <c r="Q147" s="156"/>
      <c r="R147" s="157">
        <f t="shared" si="60"/>
        <v>99.69648955145826</v>
      </c>
      <c r="S147" s="196"/>
    </row>
    <row r="148" spans="1:19" ht="15.75">
      <c r="A148" s="168" t="s">
        <v>62</v>
      </c>
      <c r="B148" s="111">
        <v>12167.3</v>
      </c>
      <c r="C148" s="233">
        <v>12150.1</v>
      </c>
      <c r="D148" s="96">
        <f t="shared" si="64"/>
        <v>12150.099999999999</v>
      </c>
      <c r="E148" s="96">
        <f>'Cay CN dai ngay'!D13</f>
        <v>4356.4</v>
      </c>
      <c r="F148" s="96">
        <f>'Cay CN dai ngay'!E13</f>
        <v>0</v>
      </c>
      <c r="G148" s="96">
        <f>'Cay CN dai ngay'!F13</f>
        <v>150</v>
      </c>
      <c r="H148" s="96">
        <f>'Cay CN dai ngay'!G13</f>
        <v>5031.7</v>
      </c>
      <c r="I148" s="96">
        <f>'Cay CN dai ngay'!H13</f>
        <v>217</v>
      </c>
      <c r="J148" s="96">
        <f>'Cay CN dai ngay'!I13</f>
        <v>1285</v>
      </c>
      <c r="K148" s="96">
        <f>'Cay CN dai ngay'!J13</f>
        <v>1110</v>
      </c>
      <c r="L148" s="96">
        <f>'Cay CN dai ngay'!K13</f>
        <v>0</v>
      </c>
      <c r="M148" s="96">
        <f>'Cay CN dai ngay'!L13</f>
        <v>0</v>
      </c>
      <c r="N148" s="96">
        <f>'Cay CN dai ngay'!M13</f>
        <v>0</v>
      </c>
      <c r="O148" s="96">
        <f>'Cay CN dai ngay'!N13</f>
        <v>0</v>
      </c>
      <c r="P148" s="96">
        <f>'Cay CN dai ngay'!O13</f>
        <v>0</v>
      </c>
      <c r="Q148" s="171"/>
      <c r="R148" s="160">
        <f t="shared" si="60"/>
        <v>99.85863749558241</v>
      </c>
      <c r="S148" s="197"/>
    </row>
    <row r="149" spans="1:19" ht="15.75">
      <c r="A149" s="155" t="s">
        <v>63</v>
      </c>
      <c r="B149" s="58">
        <v>219</v>
      </c>
      <c r="C149" s="233">
        <v>200.7</v>
      </c>
      <c r="D149" s="46">
        <f t="shared" si="64"/>
        <v>200.7</v>
      </c>
      <c r="E149" s="46">
        <f>'Cay CN dai ngay'!D17</f>
        <v>0</v>
      </c>
      <c r="F149" s="46">
        <f>'Cay CN dai ngay'!E17</f>
        <v>0</v>
      </c>
      <c r="G149" s="46">
        <f>'Cay CN dai ngay'!F17</f>
        <v>0</v>
      </c>
      <c r="H149" s="46">
        <f>'Cay CN dai ngay'!G17</f>
        <v>0</v>
      </c>
      <c r="I149" s="46">
        <f>'Cay CN dai ngay'!H17</f>
        <v>0</v>
      </c>
      <c r="J149" s="46">
        <f>'Cay CN dai ngay'!I17</f>
        <v>0</v>
      </c>
      <c r="K149" s="46">
        <f>'Cay CN dai ngay'!J17</f>
        <v>200.7</v>
      </c>
      <c r="L149" s="46">
        <f>'Cay CN dai ngay'!K17</f>
        <v>0</v>
      </c>
      <c r="M149" s="46">
        <f>'Cay CN dai ngay'!L17</f>
        <v>0</v>
      </c>
      <c r="N149" s="46">
        <f>'Cay CN dai ngay'!M17</f>
        <v>0</v>
      </c>
      <c r="O149" s="46">
        <f>'Cay CN dai ngay'!N17</f>
        <v>0</v>
      </c>
      <c r="P149" s="46">
        <f>'Cay CN dai ngay'!O17</f>
        <v>0</v>
      </c>
      <c r="Q149" s="156"/>
      <c r="R149" s="157">
        <f t="shared" si="60"/>
        <v>91.64383561643835</v>
      </c>
      <c r="S149" s="196"/>
    </row>
    <row r="150" spans="1:19" ht="15.75">
      <c r="A150" s="168" t="s">
        <v>42</v>
      </c>
      <c r="B150" s="111">
        <v>162170.4</v>
      </c>
      <c r="C150" s="233">
        <v>162635</v>
      </c>
      <c r="D150" s="96">
        <f t="shared" si="64"/>
        <v>162572.1</v>
      </c>
      <c r="E150" s="96">
        <f>'Cay CN dai ngay'!D6</f>
        <v>4830.5</v>
      </c>
      <c r="F150" s="96">
        <f>'Cay CN dai ngay'!E6</f>
        <v>12150</v>
      </c>
      <c r="G150" s="96">
        <f>'Cay CN dai ngay'!F6</f>
        <v>11202.9</v>
      </c>
      <c r="H150" s="96">
        <f>'Cay CN dai ngay'!G6</f>
        <v>4500</v>
      </c>
      <c r="I150" s="96">
        <f>'Cay CN dai ngay'!H6</f>
        <v>38650</v>
      </c>
      <c r="J150" s="96">
        <f>'Cay CN dai ngay'!I6</f>
        <v>1509</v>
      </c>
      <c r="K150" s="96">
        <f>'Cay CN dai ngay'!J6</f>
        <v>15352</v>
      </c>
      <c r="L150" s="96">
        <f>'Cay CN dai ngay'!K6</f>
        <v>43200</v>
      </c>
      <c r="M150" s="96">
        <f>'Cay CN dai ngay'!L6</f>
        <v>29450</v>
      </c>
      <c r="N150" s="96">
        <f>'Cay CN dai ngay'!M6</f>
        <v>500.6</v>
      </c>
      <c r="O150" s="96">
        <f>'Cay CN dai ngay'!N6</f>
        <v>764.1</v>
      </c>
      <c r="P150" s="96">
        <f>'Cay CN dai ngay'!O6</f>
        <v>463</v>
      </c>
      <c r="Q150" s="171">
        <f t="shared" si="59"/>
        <v>99.96132443815907</v>
      </c>
      <c r="R150" s="160">
        <f t="shared" si="60"/>
        <v>100.24770241671723</v>
      </c>
      <c r="S150" s="197"/>
    </row>
    <row r="151" spans="1:19" ht="15.75">
      <c r="A151" s="155" t="s">
        <v>18</v>
      </c>
      <c r="B151" s="58"/>
      <c r="C151" s="233">
        <v>33.5</v>
      </c>
      <c r="D151" s="46">
        <f>D152/D150*10</f>
        <v>0</v>
      </c>
      <c r="E151" s="46">
        <f>'Cay CN dai ngay'!D7</f>
        <v>0</v>
      </c>
      <c r="F151" s="46">
        <f>'Cay CN dai ngay'!E7</f>
        <v>0</v>
      </c>
      <c r="G151" s="46">
        <f>'Cay CN dai ngay'!F7</f>
        <v>0</v>
      </c>
      <c r="H151" s="46">
        <f>'Cay CN dai ngay'!G7</f>
        <v>0</v>
      </c>
      <c r="I151" s="46">
        <f>'Cay CN dai ngay'!H7</f>
        <v>0</v>
      </c>
      <c r="J151" s="46">
        <f>'Cay CN dai ngay'!I7</f>
        <v>0</v>
      </c>
      <c r="K151" s="46">
        <f>'Cay CN dai ngay'!J7</f>
        <v>0</v>
      </c>
      <c r="L151" s="46">
        <f>'Cay CN dai ngay'!K7</f>
        <v>0</v>
      </c>
      <c r="M151" s="46">
        <f>'Cay CN dai ngay'!L7</f>
        <v>0</v>
      </c>
      <c r="N151" s="46">
        <f>'Cay CN dai ngay'!M7</f>
        <v>0</v>
      </c>
      <c r="O151" s="46">
        <f>'Cay CN dai ngay'!N7</f>
        <v>0</v>
      </c>
      <c r="P151" s="46">
        <f>'Cay CN dai ngay'!O7</f>
        <v>0</v>
      </c>
      <c r="Q151" s="156">
        <f t="shared" si="59"/>
        <v>0</v>
      </c>
      <c r="R151" s="157" t="e">
        <f t="shared" si="60"/>
        <v>#DIV/0!</v>
      </c>
      <c r="S151" s="196"/>
    </row>
    <row r="152" spans="1:19" ht="15.75">
      <c r="A152" s="168" t="s">
        <v>19</v>
      </c>
      <c r="B152" s="111"/>
      <c r="C152" s="233">
        <v>545338.7</v>
      </c>
      <c r="D152" s="96">
        <f aca="true" t="shared" si="67" ref="D152:D161">SUM(E152:P152)</f>
        <v>0</v>
      </c>
      <c r="E152" s="96">
        <f>'Cay CN dai ngay'!D8</f>
        <v>0</v>
      </c>
      <c r="F152" s="96">
        <f>'Cay CN dai ngay'!E8</f>
        <v>0</v>
      </c>
      <c r="G152" s="96">
        <f>'Cay CN dai ngay'!F8</f>
        <v>0</v>
      </c>
      <c r="H152" s="96">
        <f>'Cay CN dai ngay'!G8</f>
        <v>0</v>
      </c>
      <c r="I152" s="96">
        <f>'Cay CN dai ngay'!H8</f>
        <v>0</v>
      </c>
      <c r="J152" s="96">
        <f>'Cay CN dai ngay'!I8</f>
        <v>0</v>
      </c>
      <c r="K152" s="96">
        <f>'Cay CN dai ngay'!J8</f>
        <v>0</v>
      </c>
      <c r="L152" s="96">
        <f>'Cay CN dai ngay'!K8</f>
        <v>0</v>
      </c>
      <c r="M152" s="96">
        <f>'Cay CN dai ngay'!L8</f>
        <v>0</v>
      </c>
      <c r="N152" s="96">
        <f>'Cay CN dai ngay'!M8</f>
        <v>0</v>
      </c>
      <c r="O152" s="96">
        <f>'Cay CN dai ngay'!N8</f>
        <v>0</v>
      </c>
      <c r="P152" s="96">
        <f>'Cay CN dai ngay'!O8</f>
        <v>0</v>
      </c>
      <c r="Q152" s="171">
        <f t="shared" si="59"/>
        <v>0</v>
      </c>
      <c r="R152" s="160" t="e">
        <f t="shared" si="60"/>
        <v>#DIV/0!</v>
      </c>
      <c r="S152" s="197"/>
    </row>
    <row r="153" spans="1:19" ht="15.75">
      <c r="A153" s="25" t="s">
        <v>57</v>
      </c>
      <c r="B153" s="58"/>
      <c r="C153" s="233">
        <v>0</v>
      </c>
      <c r="D153" s="46">
        <f>SUM(E153:P153)</f>
        <v>0</v>
      </c>
      <c r="E153" s="46">
        <f>'Cay CN dai ngay'!D21</f>
        <v>0</v>
      </c>
      <c r="F153" s="46">
        <f>'Cay CN dai ngay'!E21</f>
        <v>0</v>
      </c>
      <c r="G153" s="46">
        <f>'Cay CN dai ngay'!F21</f>
        <v>0</v>
      </c>
      <c r="H153" s="46">
        <f>'Cay CN dai ngay'!G21</f>
        <v>0</v>
      </c>
      <c r="I153" s="46">
        <f>'Cay CN dai ngay'!H21</f>
        <v>0</v>
      </c>
      <c r="J153" s="46">
        <f>'Cay CN dai ngay'!I21</f>
        <v>0</v>
      </c>
      <c r="K153" s="46">
        <f>'Cay CN dai ngay'!J21</f>
        <v>0</v>
      </c>
      <c r="L153" s="46">
        <f>'Cay CN dai ngay'!K21</f>
        <v>0</v>
      </c>
      <c r="M153" s="46">
        <f>'Cay CN dai ngay'!L21</f>
        <v>0</v>
      </c>
      <c r="N153" s="46">
        <f>'Cay CN dai ngay'!M21</f>
        <v>0</v>
      </c>
      <c r="O153" s="46">
        <f>'Cay CN dai ngay'!N21</f>
        <v>0</v>
      </c>
      <c r="P153" s="46">
        <f>'Cay CN dai ngay'!O21</f>
        <v>0</v>
      </c>
      <c r="Q153" s="156" t="e">
        <f>D153/C153*100</f>
        <v>#DIV/0!</v>
      </c>
      <c r="R153" s="157" t="e">
        <f t="shared" si="60"/>
        <v>#DIV/0!</v>
      </c>
      <c r="S153" s="196"/>
    </row>
    <row r="154" spans="1:19" ht="15.75">
      <c r="A154" s="99" t="s">
        <v>56</v>
      </c>
      <c r="B154" s="111">
        <v>6423.9</v>
      </c>
      <c r="C154" s="233">
        <f>C155+C158+C159</f>
        <v>7072</v>
      </c>
      <c r="D154" s="96">
        <f>'Cay CN dai ngay'!C22</f>
        <v>0</v>
      </c>
      <c r="E154" s="96">
        <f>'Cay CN dai ngay'!D22</f>
        <v>0</v>
      </c>
      <c r="F154" s="96">
        <f>'Cay CN dai ngay'!E22</f>
        <v>0</v>
      </c>
      <c r="G154" s="96">
        <f>'Cay CN dai ngay'!F22</f>
        <v>0</v>
      </c>
      <c r="H154" s="96">
        <f>'Cay CN dai ngay'!G22</f>
        <v>0</v>
      </c>
      <c r="I154" s="96">
        <f>'Cay CN dai ngay'!H22</f>
        <v>0</v>
      </c>
      <c r="J154" s="96">
        <f>'Cay CN dai ngay'!I22</f>
        <v>0</v>
      </c>
      <c r="K154" s="96">
        <f>'Cay CN dai ngay'!J22</f>
        <v>0</v>
      </c>
      <c r="L154" s="96">
        <f>'Cay CN dai ngay'!K22</f>
        <v>0</v>
      </c>
      <c r="M154" s="96">
        <f>'Cay CN dai ngay'!L22</f>
        <v>0</v>
      </c>
      <c r="N154" s="96">
        <f>'Cay CN dai ngay'!M22</f>
        <v>0</v>
      </c>
      <c r="O154" s="96">
        <f>'Cay CN dai ngay'!N22</f>
        <v>0</v>
      </c>
      <c r="P154" s="96">
        <f>'Cay CN dai ngay'!O22</f>
        <v>0</v>
      </c>
      <c r="Q154" s="171">
        <f t="shared" si="59"/>
        <v>0</v>
      </c>
      <c r="R154" s="160">
        <f t="shared" si="60"/>
        <v>0</v>
      </c>
      <c r="S154" s="121"/>
    </row>
    <row r="155" spans="1:19" ht="15.75">
      <c r="A155" s="25" t="s">
        <v>224</v>
      </c>
      <c r="B155" s="58">
        <v>2898.1</v>
      </c>
      <c r="C155" s="233">
        <v>2877</v>
      </c>
      <c r="D155" s="46">
        <f>'Cay CN dai ngay'!C23</f>
        <v>0</v>
      </c>
      <c r="E155" s="46">
        <f>'Cay CN dai ngay'!D23</f>
        <v>0</v>
      </c>
      <c r="F155" s="46">
        <f>'Cay CN dai ngay'!E23</f>
        <v>0</v>
      </c>
      <c r="G155" s="46">
        <f>'Cay CN dai ngay'!F23</f>
        <v>0</v>
      </c>
      <c r="H155" s="46">
        <f>'Cay CN dai ngay'!G23</f>
        <v>0</v>
      </c>
      <c r="I155" s="46">
        <f>'Cay CN dai ngay'!H23</f>
        <v>0</v>
      </c>
      <c r="J155" s="46">
        <f>'Cay CN dai ngay'!I23</f>
        <v>0</v>
      </c>
      <c r="K155" s="46">
        <f>'Cay CN dai ngay'!J23</f>
        <v>0</v>
      </c>
      <c r="L155" s="46">
        <f>'Cay CN dai ngay'!K23</f>
        <v>0</v>
      </c>
      <c r="M155" s="46">
        <f>'Cay CN dai ngay'!L23</f>
        <v>0</v>
      </c>
      <c r="N155" s="46">
        <f>'Cay CN dai ngay'!M23</f>
        <v>0</v>
      </c>
      <c r="O155" s="46">
        <f>'Cay CN dai ngay'!N23</f>
        <v>0</v>
      </c>
      <c r="P155" s="46">
        <f>'Cay CN dai ngay'!O23</f>
        <v>0</v>
      </c>
      <c r="Q155" s="156">
        <f t="shared" si="59"/>
        <v>0</v>
      </c>
      <c r="R155" s="157">
        <f t="shared" si="60"/>
        <v>0</v>
      </c>
      <c r="S155" s="196"/>
    </row>
    <row r="156" spans="1:19" ht="15.75">
      <c r="A156" s="99" t="s">
        <v>59</v>
      </c>
      <c r="B156" s="111"/>
      <c r="C156" s="233">
        <v>0</v>
      </c>
      <c r="D156" s="96">
        <f t="shared" si="67"/>
        <v>0</v>
      </c>
      <c r="E156" s="96">
        <f>'Cay CN dai ngay'!D24</f>
        <v>0</v>
      </c>
      <c r="F156" s="96">
        <f>'Cay CN dai ngay'!E24</f>
        <v>0</v>
      </c>
      <c r="G156" s="96">
        <f>'Cay CN dai ngay'!F24</f>
        <v>0</v>
      </c>
      <c r="H156" s="96">
        <f>'Cay CN dai ngay'!G24</f>
        <v>0</v>
      </c>
      <c r="I156" s="96">
        <f>'Cay CN dai ngay'!H24</f>
        <v>0</v>
      </c>
      <c r="J156" s="96">
        <f>'Cay CN dai ngay'!I24</f>
        <v>0</v>
      </c>
      <c r="K156" s="96">
        <f>'Cay CN dai ngay'!J24</f>
        <v>0</v>
      </c>
      <c r="L156" s="96">
        <f>'Cay CN dai ngay'!K24</f>
        <v>0</v>
      </c>
      <c r="M156" s="96">
        <f>'Cay CN dai ngay'!L24</f>
        <v>0</v>
      </c>
      <c r="N156" s="96">
        <f>'Cay CN dai ngay'!M24</f>
        <v>0</v>
      </c>
      <c r="O156" s="96">
        <f>'Cay CN dai ngay'!N24</f>
        <v>0</v>
      </c>
      <c r="P156" s="96">
        <f>'Cay CN dai ngay'!O24</f>
        <v>0</v>
      </c>
      <c r="Q156" s="171" t="e">
        <f t="shared" si="59"/>
        <v>#DIV/0!</v>
      </c>
      <c r="R156" s="160" t="e">
        <f t="shared" si="60"/>
        <v>#DIV/0!</v>
      </c>
      <c r="S156" s="121"/>
    </row>
    <row r="157" spans="1:19" ht="15.75">
      <c r="A157" s="25" t="s">
        <v>58</v>
      </c>
      <c r="B157" s="58"/>
      <c r="C157" s="233">
        <v>0</v>
      </c>
      <c r="D157" s="46">
        <f t="shared" si="67"/>
        <v>0</v>
      </c>
      <c r="E157" s="46">
        <f>'Cay CN dai ngay'!D25</f>
        <v>0</v>
      </c>
      <c r="F157" s="46">
        <f>'Cay CN dai ngay'!E25</f>
        <v>0</v>
      </c>
      <c r="G157" s="46">
        <f>'Cay CN dai ngay'!F25</f>
        <v>0</v>
      </c>
      <c r="H157" s="46">
        <f>'Cay CN dai ngay'!G25</f>
        <v>0</v>
      </c>
      <c r="I157" s="46">
        <f>'Cay CN dai ngay'!H25</f>
        <v>0</v>
      </c>
      <c r="J157" s="46">
        <f>'Cay CN dai ngay'!I25</f>
        <v>0</v>
      </c>
      <c r="K157" s="46">
        <f>'Cay CN dai ngay'!J25</f>
        <v>0</v>
      </c>
      <c r="L157" s="46">
        <f>'Cay CN dai ngay'!K25</f>
        <v>0</v>
      </c>
      <c r="M157" s="46">
        <f>'Cay CN dai ngay'!L25</f>
        <v>0</v>
      </c>
      <c r="N157" s="46">
        <f>'Cay CN dai ngay'!M25</f>
        <v>0</v>
      </c>
      <c r="O157" s="46">
        <f>'Cay CN dai ngay'!N25</f>
        <v>0</v>
      </c>
      <c r="P157" s="46">
        <f>'Cay CN dai ngay'!O25</f>
        <v>0</v>
      </c>
      <c r="Q157" s="156" t="e">
        <f t="shared" si="59"/>
        <v>#DIV/0!</v>
      </c>
      <c r="R157" s="157" t="e">
        <f t="shared" si="60"/>
        <v>#DIV/0!</v>
      </c>
      <c r="S157" s="196"/>
    </row>
    <row r="158" spans="1:19" ht="15.75">
      <c r="A158" s="99" t="s">
        <v>187</v>
      </c>
      <c r="B158" s="111"/>
      <c r="C158" s="233">
        <v>66</v>
      </c>
      <c r="D158" s="96">
        <f t="shared" si="67"/>
        <v>0</v>
      </c>
      <c r="E158" s="96">
        <f>'Cay CN dai ngay'!D26</f>
        <v>0</v>
      </c>
      <c r="F158" s="96">
        <f>'Cay CN dai ngay'!E26</f>
        <v>0</v>
      </c>
      <c r="G158" s="96">
        <f>'Cay CN dai ngay'!F26</f>
        <v>0</v>
      </c>
      <c r="H158" s="96">
        <f>'Cay CN dai ngay'!G26</f>
        <v>0</v>
      </c>
      <c r="I158" s="96">
        <f>'Cay CN dai ngay'!H26</f>
        <v>0</v>
      </c>
      <c r="J158" s="96">
        <f>'Cay CN dai ngay'!I26</f>
        <v>0</v>
      </c>
      <c r="K158" s="96">
        <f>'Cay CN dai ngay'!J26</f>
        <v>0</v>
      </c>
      <c r="L158" s="96">
        <f>'Cay CN dai ngay'!K26</f>
        <v>0</v>
      </c>
      <c r="M158" s="96">
        <f>'Cay CN dai ngay'!L26</f>
        <v>0</v>
      </c>
      <c r="N158" s="96">
        <f>'Cay CN dai ngay'!M26</f>
        <v>0</v>
      </c>
      <c r="O158" s="96">
        <f>'Cay CN dai ngay'!N26</f>
        <v>0</v>
      </c>
      <c r="P158" s="96">
        <f>'Cay CN dai ngay'!O26</f>
        <v>0</v>
      </c>
      <c r="Q158" s="171"/>
      <c r="R158" s="160" t="e">
        <f t="shared" si="60"/>
        <v>#DIV/0!</v>
      </c>
      <c r="S158" s="197"/>
    </row>
    <row r="159" spans="1:19" ht="15.75">
      <c r="A159" s="25" t="s">
        <v>60</v>
      </c>
      <c r="B159" s="58">
        <v>3475.8</v>
      </c>
      <c r="C159" s="233">
        <v>4129</v>
      </c>
      <c r="D159" s="46">
        <f>'Cay CN dai ngay'!C27</f>
        <v>0</v>
      </c>
      <c r="E159" s="46">
        <f>'Cay CN dai ngay'!D27</f>
        <v>0</v>
      </c>
      <c r="F159" s="46">
        <f>'Cay CN dai ngay'!E27</f>
        <v>0</v>
      </c>
      <c r="G159" s="46">
        <f>'Cay CN dai ngay'!F27</f>
        <v>0</v>
      </c>
      <c r="H159" s="46">
        <f>'Cay CN dai ngay'!G27</f>
        <v>0</v>
      </c>
      <c r="I159" s="46">
        <f>'Cay CN dai ngay'!H27</f>
        <v>0</v>
      </c>
      <c r="J159" s="46">
        <f>'Cay CN dai ngay'!I27</f>
        <v>0</v>
      </c>
      <c r="K159" s="46">
        <f>'Cay CN dai ngay'!J27</f>
        <v>0</v>
      </c>
      <c r="L159" s="46">
        <f>'Cay CN dai ngay'!K27</f>
        <v>0</v>
      </c>
      <c r="M159" s="46">
        <f>'Cay CN dai ngay'!L27</f>
        <v>0</v>
      </c>
      <c r="N159" s="46">
        <f>'Cay CN dai ngay'!M27</f>
        <v>0</v>
      </c>
      <c r="O159" s="46">
        <f>'Cay CN dai ngay'!N27</f>
        <v>0</v>
      </c>
      <c r="P159" s="46">
        <f>'Cay CN dai ngay'!O27</f>
        <v>0</v>
      </c>
      <c r="Q159" s="156">
        <f t="shared" si="59"/>
        <v>0</v>
      </c>
      <c r="R159" s="157">
        <f t="shared" si="60"/>
        <v>0</v>
      </c>
      <c r="S159" s="196"/>
    </row>
    <row r="160" spans="1:19" ht="15.75">
      <c r="A160" s="158" t="s">
        <v>156</v>
      </c>
      <c r="B160" s="23">
        <v>11290.1</v>
      </c>
      <c r="C160" s="374">
        <v>11135.1</v>
      </c>
      <c r="D160" s="23">
        <f t="shared" si="67"/>
        <v>11142.05</v>
      </c>
      <c r="E160" s="128">
        <f>'Cay CN dai ngay'!D30</f>
        <v>236.85</v>
      </c>
      <c r="F160" s="128">
        <f>'Cay CN dai ngay'!E30</f>
        <v>2505</v>
      </c>
      <c r="G160" s="128">
        <f>'Cay CN dai ngay'!F30</f>
        <v>7</v>
      </c>
      <c r="H160" s="128">
        <f>'Cay CN dai ngay'!G30</f>
        <v>0</v>
      </c>
      <c r="I160" s="128">
        <f>'Cay CN dai ngay'!H30</f>
        <v>165</v>
      </c>
      <c r="J160" s="128">
        <f>'Cay CN dai ngay'!I30</f>
        <v>0</v>
      </c>
      <c r="K160" s="128">
        <f>'Cay CN dai ngay'!J30</f>
        <v>1.6</v>
      </c>
      <c r="L160" s="128">
        <f>'Cay CN dai ngay'!K30</f>
        <v>505.6</v>
      </c>
      <c r="M160" s="128">
        <f>'Cay CN dai ngay'!L30</f>
        <v>7150</v>
      </c>
      <c r="N160" s="128">
        <f>'Cay CN dai ngay'!M30</f>
        <v>532</v>
      </c>
      <c r="O160" s="128">
        <f>'Cay CN dai ngay'!N30</f>
        <v>39</v>
      </c>
      <c r="P160" s="128">
        <f>'Cay CN dai ngay'!O30</f>
        <v>0</v>
      </c>
      <c r="Q160" s="159">
        <f>D160/C160*100</f>
        <v>100.06241524548498</v>
      </c>
      <c r="R160" s="327">
        <f t="shared" si="60"/>
        <v>98.68867414814748</v>
      </c>
      <c r="S160" s="197"/>
    </row>
    <row r="161" spans="1:19" ht="15.75">
      <c r="A161" s="155" t="s">
        <v>42</v>
      </c>
      <c r="B161" s="46">
        <v>10974.4</v>
      </c>
      <c r="C161" s="233">
        <v>11089.5</v>
      </c>
      <c r="D161" s="46">
        <f t="shared" si="67"/>
        <v>11038.250000000002</v>
      </c>
      <c r="E161" s="192">
        <f>'Cay CN dai ngay'!D31</f>
        <v>236.85</v>
      </c>
      <c r="F161" s="192">
        <f>'Cay CN dai ngay'!E31</f>
        <v>2505</v>
      </c>
      <c r="G161" s="192">
        <f>'Cay CN dai ngay'!F31</f>
        <v>7</v>
      </c>
      <c r="H161" s="192">
        <f>'Cay CN dai ngay'!G31</f>
        <v>0</v>
      </c>
      <c r="I161" s="192">
        <f>'Cay CN dai ngay'!H31</f>
        <v>164</v>
      </c>
      <c r="J161" s="192">
        <f>'Cay CN dai ngay'!I31</f>
        <v>0</v>
      </c>
      <c r="K161" s="192">
        <f>'Cay CN dai ngay'!J31</f>
        <v>1.6</v>
      </c>
      <c r="L161" s="192">
        <f>'Cay CN dai ngay'!K31</f>
        <v>468</v>
      </c>
      <c r="M161" s="192">
        <f>'Cay CN dai ngay'!L31</f>
        <v>7107</v>
      </c>
      <c r="N161" s="192">
        <f>'Cay CN dai ngay'!M31</f>
        <v>511.7</v>
      </c>
      <c r="O161" s="192">
        <f>'Cay CN dai ngay'!N31</f>
        <v>37.1</v>
      </c>
      <c r="P161" s="192">
        <f>'Cay CN dai ngay'!O31</f>
        <v>0</v>
      </c>
      <c r="Q161" s="156">
        <f t="shared" si="59"/>
        <v>99.53785112042925</v>
      </c>
      <c r="R161" s="157">
        <f aca="true" t="shared" si="68" ref="R161:R167">D161/B161*100</f>
        <v>100.58180857267824</v>
      </c>
      <c r="S161" s="196"/>
    </row>
    <row r="162" spans="1:19" ht="15.75">
      <c r="A162" s="168" t="s">
        <v>18</v>
      </c>
      <c r="B162" s="96">
        <v>147</v>
      </c>
      <c r="C162" s="233">
        <v>150</v>
      </c>
      <c r="D162" s="96">
        <f>'Cay CN dai ngay'!C32</f>
        <v>148.7038978098883</v>
      </c>
      <c r="E162" s="177">
        <f>'Cay CN dai ngay'!D32</f>
        <v>148</v>
      </c>
      <c r="F162" s="177">
        <f>'Cay CN dai ngay'!E32</f>
        <v>155</v>
      </c>
      <c r="G162" s="177">
        <f>'Cay CN dai ngay'!F32</f>
        <v>100</v>
      </c>
      <c r="H162" s="177">
        <f>'Cay CN dai ngay'!G32</f>
        <v>0</v>
      </c>
      <c r="I162" s="177">
        <f>'Cay CN dai ngay'!H32</f>
        <v>215</v>
      </c>
      <c r="J162" s="177">
        <f>'Cay CN dai ngay'!I32</f>
        <v>0</v>
      </c>
      <c r="K162" s="177">
        <f>'Cay CN dai ngay'!J32</f>
        <v>135</v>
      </c>
      <c r="L162" s="177">
        <f>'Cay CN dai ngay'!K32</f>
        <v>125</v>
      </c>
      <c r="M162" s="177">
        <f>'Cay CN dai ngay'!L32</f>
        <v>152</v>
      </c>
      <c r="N162" s="177">
        <f>'Cay CN dai ngay'!M32</f>
        <v>80</v>
      </c>
      <c r="O162" s="177">
        <f>'Cay CN dai ngay'!N32</f>
        <v>60</v>
      </c>
      <c r="P162" s="177">
        <f>'Cay CN dai ngay'!O32</f>
        <v>0</v>
      </c>
      <c r="Q162" s="171">
        <f t="shared" si="59"/>
        <v>99.13593187325887</v>
      </c>
      <c r="R162" s="160">
        <f t="shared" si="68"/>
        <v>101.15911415638661</v>
      </c>
      <c r="S162" s="197"/>
    </row>
    <row r="163" spans="1:19" ht="15.75">
      <c r="A163" s="155" t="s">
        <v>19</v>
      </c>
      <c r="B163" s="46">
        <v>120993.8</v>
      </c>
      <c r="C163" s="233">
        <v>166295.6</v>
      </c>
      <c r="D163" s="46">
        <f aca="true" t="shared" si="69" ref="D163:D168">SUM(E163:P163)</f>
        <v>13678.589999999998</v>
      </c>
      <c r="E163" s="192">
        <f>'Cay CN dai ngay'!D33</f>
        <v>292.11499999999995</v>
      </c>
      <c r="F163" s="192">
        <f>'Cay CN dai ngay'!E33</f>
        <v>3235.625</v>
      </c>
      <c r="G163" s="192">
        <f>'Cay CN dai ngay'!F33</f>
        <v>5.833333333333333</v>
      </c>
      <c r="H163" s="192">
        <f>'Cay CN dai ngay'!G33</f>
        <v>0</v>
      </c>
      <c r="I163" s="192">
        <f>'Cay CN dai ngay'!H33</f>
        <v>293.8333333333333</v>
      </c>
      <c r="J163" s="192">
        <f>'Cay CN dai ngay'!I33</f>
        <v>0</v>
      </c>
      <c r="K163" s="192">
        <f>'Cay CN dai ngay'!J33</f>
        <v>1.8</v>
      </c>
      <c r="L163" s="192">
        <f>'Cay CN dai ngay'!K33</f>
        <v>487.5</v>
      </c>
      <c r="M163" s="192">
        <f>'Cay CN dai ngay'!L33</f>
        <v>9002.199999999999</v>
      </c>
      <c r="N163" s="192">
        <f>'Cay CN dai ngay'!M33</f>
        <v>341.1333333333333</v>
      </c>
      <c r="O163" s="192">
        <f>'Cay CN dai ngay'!N33</f>
        <v>18.55</v>
      </c>
      <c r="P163" s="192">
        <f>'Cay CN dai ngay'!O33</f>
        <v>0</v>
      </c>
      <c r="Q163" s="156">
        <f t="shared" si="59"/>
        <v>8.22546718012984</v>
      </c>
      <c r="R163" s="157">
        <f t="shared" si="68"/>
        <v>11.30519910937585</v>
      </c>
      <c r="S163" s="196"/>
    </row>
    <row r="164" spans="1:19" ht="15" customHeight="1">
      <c r="A164" s="99" t="s">
        <v>45</v>
      </c>
      <c r="B164" s="96">
        <v>895</v>
      </c>
      <c r="C164" s="233"/>
      <c r="D164" s="96">
        <f t="shared" si="69"/>
        <v>0</v>
      </c>
      <c r="E164" s="177">
        <f>'Cay CN dai ngay'!D34</f>
        <v>0</v>
      </c>
      <c r="F164" s="177">
        <f>'Cay CN dai ngay'!E34</f>
        <v>0</v>
      </c>
      <c r="G164" s="177">
        <f>'Cay CN dai ngay'!F34</f>
        <v>0</v>
      </c>
      <c r="H164" s="177">
        <f>'Cay CN dai ngay'!G34</f>
        <v>0</v>
      </c>
      <c r="I164" s="177">
        <f>'Cay CN dai ngay'!H34</f>
        <v>0</v>
      </c>
      <c r="J164" s="177">
        <f>'Cay CN dai ngay'!I34</f>
        <v>0</v>
      </c>
      <c r="K164" s="177">
        <f>'Cay CN dai ngay'!J34</f>
        <v>0</v>
      </c>
      <c r="L164" s="177">
        <f>'Cay CN dai ngay'!K34</f>
        <v>0</v>
      </c>
      <c r="M164" s="177">
        <f>'Cay CN dai ngay'!L34</f>
        <v>0</v>
      </c>
      <c r="N164" s="177">
        <f>'Cay CN dai ngay'!M34</f>
        <v>0</v>
      </c>
      <c r="O164" s="177">
        <f>'Cay CN dai ngay'!N34</f>
        <v>0</v>
      </c>
      <c r="P164" s="177">
        <f>'Cay CN dai ngay'!O34</f>
        <v>0</v>
      </c>
      <c r="Q164" s="171" t="e">
        <f t="shared" si="59"/>
        <v>#DIV/0!</v>
      </c>
      <c r="R164" s="160">
        <f t="shared" si="68"/>
        <v>0</v>
      </c>
      <c r="S164" s="197"/>
    </row>
    <row r="165" spans="1:19" ht="15.75">
      <c r="A165" s="158" t="s">
        <v>157</v>
      </c>
      <c r="B165" s="23">
        <v>23520.8</v>
      </c>
      <c r="C165" s="374">
        <v>20950.3</v>
      </c>
      <c r="D165" s="23">
        <f t="shared" si="69"/>
        <v>22022.6</v>
      </c>
      <c r="E165" s="178">
        <f>'Cay CN dai ngay'!D47</f>
        <v>0</v>
      </c>
      <c r="F165" s="178">
        <f>'Cay CN dai ngay'!E47</f>
        <v>0</v>
      </c>
      <c r="G165" s="178">
        <f>'Cay CN dai ngay'!F47</f>
        <v>223</v>
      </c>
      <c r="H165" s="178">
        <f>'Cay CN dai ngay'!G47</f>
        <v>0</v>
      </c>
      <c r="I165" s="178">
        <f>'Cay CN dai ngay'!H47</f>
        <v>0</v>
      </c>
      <c r="J165" s="178">
        <f>'Cay CN dai ngay'!I47</f>
        <v>0</v>
      </c>
      <c r="K165" s="178">
        <f>'Cay CN dai ngay'!J47</f>
        <v>0</v>
      </c>
      <c r="L165" s="178">
        <f>'Cay CN dai ngay'!K47</f>
        <v>0</v>
      </c>
      <c r="M165" s="178">
        <f>'Cay CN dai ngay'!L47</f>
        <v>190</v>
      </c>
      <c r="N165" s="178">
        <f>'Cay CN dai ngay'!M47</f>
        <v>9468.2</v>
      </c>
      <c r="O165" s="178">
        <f>'Cay CN dai ngay'!N47</f>
        <v>6199.3</v>
      </c>
      <c r="P165" s="178">
        <f>'Cay CN dai ngay'!O47</f>
        <v>5942.1</v>
      </c>
      <c r="Q165" s="159">
        <f t="shared" si="59"/>
        <v>105.11830379517238</v>
      </c>
      <c r="R165" s="327">
        <f t="shared" si="68"/>
        <v>93.63031869664297</v>
      </c>
      <c r="S165" s="197"/>
    </row>
    <row r="166" spans="1:19" ht="15.75">
      <c r="A166" s="25" t="s">
        <v>52</v>
      </c>
      <c r="B166" s="46">
        <v>15584.1</v>
      </c>
      <c r="C166" s="233">
        <v>14257.4</v>
      </c>
      <c r="D166" s="46">
        <f t="shared" si="69"/>
        <v>15158.7</v>
      </c>
      <c r="E166" s="203">
        <f>'Cay CN dai ngay'!D48</f>
        <v>0</v>
      </c>
      <c r="F166" s="203">
        <f>'Cay CN dai ngay'!E48</f>
        <v>0</v>
      </c>
      <c r="G166" s="203">
        <f>'Cay CN dai ngay'!F48</f>
        <v>194</v>
      </c>
      <c r="H166" s="203">
        <f>'Cay CN dai ngay'!G48</f>
        <v>0</v>
      </c>
      <c r="I166" s="203">
        <f>'Cay CN dai ngay'!H48</f>
        <v>0</v>
      </c>
      <c r="J166" s="203">
        <f>'Cay CN dai ngay'!I48</f>
        <v>0</v>
      </c>
      <c r="K166" s="203">
        <f>'Cay CN dai ngay'!J48</f>
        <v>0</v>
      </c>
      <c r="L166" s="203">
        <f>'Cay CN dai ngay'!K48</f>
        <v>0</v>
      </c>
      <c r="M166" s="203">
        <f>'Cay CN dai ngay'!L48</f>
        <v>190</v>
      </c>
      <c r="N166" s="203">
        <f>'Cay CN dai ngay'!M48</f>
        <v>7487.6</v>
      </c>
      <c r="O166" s="203">
        <f>'Cay CN dai ngay'!N48</f>
        <v>3289.9</v>
      </c>
      <c r="P166" s="203">
        <f>'Cay CN dai ngay'!O48</f>
        <v>3997.2</v>
      </c>
      <c r="Q166" s="156">
        <f t="shared" si="59"/>
        <v>106.32162946960877</v>
      </c>
      <c r="R166" s="157">
        <f t="shared" si="68"/>
        <v>97.27029472346815</v>
      </c>
      <c r="S166" s="198"/>
    </row>
    <row r="167" spans="1:19" ht="15.75">
      <c r="A167" s="99" t="s">
        <v>53</v>
      </c>
      <c r="B167" s="96">
        <v>7936.7</v>
      </c>
      <c r="C167" s="233">
        <v>6692.9</v>
      </c>
      <c r="D167" s="96">
        <f t="shared" si="69"/>
        <v>6863.900000000001</v>
      </c>
      <c r="E167" s="179">
        <f>'Cay CN dai ngay'!D49</f>
        <v>0</v>
      </c>
      <c r="F167" s="179">
        <f>'Cay CN dai ngay'!E49</f>
        <v>0</v>
      </c>
      <c r="G167" s="179">
        <f>'Cay CN dai ngay'!F49</f>
        <v>29</v>
      </c>
      <c r="H167" s="179">
        <f>'Cay CN dai ngay'!G49</f>
        <v>0</v>
      </c>
      <c r="I167" s="179">
        <f>'Cay CN dai ngay'!H49</f>
        <v>0</v>
      </c>
      <c r="J167" s="179">
        <f>'Cay CN dai ngay'!I49</f>
        <v>0</v>
      </c>
      <c r="K167" s="179">
        <f>'Cay CN dai ngay'!J49</f>
        <v>0</v>
      </c>
      <c r="L167" s="179">
        <f>'Cay CN dai ngay'!K49</f>
        <v>0</v>
      </c>
      <c r="M167" s="179">
        <f>'Cay CN dai ngay'!L49</f>
        <v>0</v>
      </c>
      <c r="N167" s="179">
        <f>'Cay CN dai ngay'!M49</f>
        <v>1980.6000000000004</v>
      </c>
      <c r="O167" s="179">
        <f>'Cay CN dai ngay'!N49</f>
        <v>2909.4</v>
      </c>
      <c r="P167" s="179">
        <f>'Cay CN dai ngay'!O49</f>
        <v>1944.9000000000005</v>
      </c>
      <c r="Q167" s="171">
        <f t="shared" si="59"/>
        <v>102.55494628636316</v>
      </c>
      <c r="R167" s="160">
        <f t="shared" si="68"/>
        <v>86.48304711025993</v>
      </c>
      <c r="S167" s="197"/>
    </row>
    <row r="168" spans="1:19" ht="15.75">
      <c r="A168" s="204" t="s">
        <v>42</v>
      </c>
      <c r="B168" s="46">
        <v>22747.6</v>
      </c>
      <c r="C168" s="233">
        <v>22772.6</v>
      </c>
      <c r="D168" s="46">
        <f t="shared" si="69"/>
        <v>22915.6</v>
      </c>
      <c r="E168" s="203">
        <f>'Cay CN dai ngay'!D50</f>
        <v>0</v>
      </c>
      <c r="F168" s="203">
        <f>'Cay CN dai ngay'!E50</f>
        <v>0</v>
      </c>
      <c r="G168" s="203">
        <f>'Cay CN dai ngay'!F50</f>
        <v>278</v>
      </c>
      <c r="H168" s="203">
        <f>'Cay CN dai ngay'!G50</f>
        <v>0</v>
      </c>
      <c r="I168" s="203">
        <f>'Cay CN dai ngay'!H50</f>
        <v>0</v>
      </c>
      <c r="J168" s="203">
        <f>'Cay CN dai ngay'!I50</f>
        <v>0</v>
      </c>
      <c r="K168" s="203">
        <f>'Cay CN dai ngay'!J50</f>
        <v>0</v>
      </c>
      <c r="L168" s="203">
        <f>'Cay CN dai ngay'!K50</f>
        <v>0</v>
      </c>
      <c r="M168" s="203">
        <f>'Cay CN dai ngay'!L50</f>
        <v>190</v>
      </c>
      <c r="N168" s="203">
        <f>'Cay CN dai ngay'!M50</f>
        <v>9946.6</v>
      </c>
      <c r="O168" s="203">
        <f>'Cay CN dai ngay'!N50</f>
        <v>6750</v>
      </c>
      <c r="P168" s="203">
        <f>'Cay CN dai ngay'!O50</f>
        <v>5751</v>
      </c>
      <c r="Q168" s="156">
        <f t="shared" si="59"/>
        <v>100.62794762126414</v>
      </c>
      <c r="R168" s="157" t="e">
        <f>D168/#REF!*100</f>
        <v>#REF!</v>
      </c>
      <c r="S168" s="196"/>
    </row>
    <row r="169" spans="1:19" ht="15.75">
      <c r="A169" s="168" t="s">
        <v>18</v>
      </c>
      <c r="B169" s="96">
        <v>8.4</v>
      </c>
      <c r="C169" s="233">
        <v>8.4</v>
      </c>
      <c r="D169" s="96">
        <f>D170/D168*10</f>
        <v>0</v>
      </c>
      <c r="E169" s="179">
        <f>'Cay CN dai ngay'!D51</f>
        <v>0</v>
      </c>
      <c r="F169" s="179">
        <f>'Cay CN dai ngay'!E51</f>
        <v>0</v>
      </c>
      <c r="G169" s="179">
        <f>'Cay CN dai ngay'!F51</f>
        <v>0</v>
      </c>
      <c r="H169" s="179">
        <f>'Cay CN dai ngay'!G51</f>
        <v>0</v>
      </c>
      <c r="I169" s="179">
        <f>'Cay CN dai ngay'!H51</f>
        <v>0</v>
      </c>
      <c r="J169" s="179">
        <f>'Cay CN dai ngay'!I51</f>
        <v>0</v>
      </c>
      <c r="K169" s="179">
        <f>'Cay CN dai ngay'!J51</f>
        <v>0</v>
      </c>
      <c r="L169" s="179">
        <f>'Cay CN dai ngay'!K51</f>
        <v>0</v>
      </c>
      <c r="M169" s="179">
        <f>'Cay CN dai ngay'!L51</f>
        <v>0</v>
      </c>
      <c r="N169" s="179">
        <f>'Cay CN dai ngay'!M51</f>
        <v>0</v>
      </c>
      <c r="O169" s="179">
        <f>'Cay CN dai ngay'!N51</f>
        <v>0</v>
      </c>
      <c r="P169" s="179">
        <f>'Cay CN dai ngay'!O51</f>
        <v>0</v>
      </c>
      <c r="Q169" s="171">
        <f t="shared" si="59"/>
        <v>0</v>
      </c>
      <c r="R169" s="160">
        <f>D169/B168*100</f>
        <v>0</v>
      </c>
      <c r="S169" s="197"/>
    </row>
    <row r="170" spans="1:19" ht="15.75">
      <c r="A170" s="155" t="s">
        <v>19</v>
      </c>
      <c r="B170" s="46">
        <v>19138</v>
      </c>
      <c r="C170" s="233">
        <v>19180.2</v>
      </c>
      <c r="D170" s="46">
        <f aca="true" t="shared" si="70" ref="D170:D175">SUM(E170:P170)</f>
        <v>0</v>
      </c>
      <c r="E170" s="203">
        <f>'Cay CN dai ngay'!D52</f>
        <v>0</v>
      </c>
      <c r="F170" s="203">
        <f>'Cay CN dai ngay'!E52</f>
        <v>0</v>
      </c>
      <c r="G170" s="203">
        <f>'Cay CN dai ngay'!F52</f>
        <v>0</v>
      </c>
      <c r="H170" s="203">
        <f>'Cay CN dai ngay'!G52</f>
        <v>0</v>
      </c>
      <c r="I170" s="203">
        <f>'Cay CN dai ngay'!H52</f>
        <v>0</v>
      </c>
      <c r="J170" s="203">
        <f>'Cay CN dai ngay'!I52</f>
        <v>0</v>
      </c>
      <c r="K170" s="203">
        <f>'Cay CN dai ngay'!J52</f>
        <v>0</v>
      </c>
      <c r="L170" s="203">
        <f>'Cay CN dai ngay'!K52</f>
        <v>0</v>
      </c>
      <c r="M170" s="203">
        <f>'Cay CN dai ngay'!L52</f>
        <v>0</v>
      </c>
      <c r="N170" s="203">
        <f>'Cay CN dai ngay'!M52</f>
        <v>0</v>
      </c>
      <c r="O170" s="203">
        <f>'Cay CN dai ngay'!N52</f>
        <v>0</v>
      </c>
      <c r="P170" s="203">
        <f>'Cay CN dai ngay'!O52</f>
        <v>0</v>
      </c>
      <c r="Q170" s="156">
        <f t="shared" si="59"/>
        <v>0</v>
      </c>
      <c r="R170" s="157">
        <f>D170/B169*100</f>
        <v>0</v>
      </c>
      <c r="S170" s="196"/>
    </row>
    <row r="171" spans="1:19" ht="15.75">
      <c r="A171" s="168" t="s">
        <v>43</v>
      </c>
      <c r="B171" s="96">
        <v>362.2</v>
      </c>
      <c r="C171" s="233"/>
      <c r="D171" s="96">
        <f t="shared" si="70"/>
        <v>0</v>
      </c>
      <c r="E171" s="179">
        <f>'Cay CN dai ngay'!D53</f>
        <v>0</v>
      </c>
      <c r="F171" s="179">
        <f>'Cay CN dai ngay'!E53</f>
        <v>0</v>
      </c>
      <c r="G171" s="179">
        <f>'Cay CN dai ngay'!F53</f>
        <v>0</v>
      </c>
      <c r="H171" s="179">
        <f>'Cay CN dai ngay'!G53</f>
        <v>0</v>
      </c>
      <c r="I171" s="179">
        <f>'Cay CN dai ngay'!H53</f>
        <v>0</v>
      </c>
      <c r="J171" s="179">
        <f>'Cay CN dai ngay'!I53</f>
        <v>0</v>
      </c>
      <c r="K171" s="179">
        <f>'Cay CN dai ngay'!J53</f>
        <v>0</v>
      </c>
      <c r="L171" s="179">
        <f>'Cay CN dai ngay'!K53</f>
        <v>0</v>
      </c>
      <c r="M171" s="179">
        <f>'Cay CN dai ngay'!L53</f>
        <v>0</v>
      </c>
      <c r="N171" s="179">
        <f>'Cay CN dai ngay'!M53</f>
        <v>0</v>
      </c>
      <c r="O171" s="179">
        <f>'Cay CN dai ngay'!N53</f>
        <v>0</v>
      </c>
      <c r="P171" s="179">
        <f>'Cay CN dai ngay'!O53</f>
        <v>0</v>
      </c>
      <c r="Q171" s="171" t="e">
        <f t="shared" si="59"/>
        <v>#DIV/0!</v>
      </c>
      <c r="R171" s="160">
        <f>D171/B170*100</f>
        <v>0</v>
      </c>
      <c r="S171" s="197"/>
    </row>
    <row r="172" spans="1:19" ht="15.75">
      <c r="A172" s="155" t="s">
        <v>44</v>
      </c>
      <c r="B172" s="205">
        <v>2127</v>
      </c>
      <c r="C172" s="233"/>
      <c r="D172" s="46">
        <f t="shared" si="70"/>
        <v>0</v>
      </c>
      <c r="E172" s="203">
        <f>'Cay CN dai ngay'!D54</f>
        <v>0</v>
      </c>
      <c r="F172" s="203">
        <f>'Cay CN dai ngay'!E54</f>
        <v>0</v>
      </c>
      <c r="G172" s="203">
        <f>'Cay CN dai ngay'!F54</f>
        <v>0</v>
      </c>
      <c r="H172" s="203">
        <f>'Cay CN dai ngay'!G54</f>
        <v>0</v>
      </c>
      <c r="I172" s="203">
        <f>'Cay CN dai ngay'!H54</f>
        <v>0</v>
      </c>
      <c r="J172" s="203">
        <f>'Cay CN dai ngay'!I54</f>
        <v>0</v>
      </c>
      <c r="K172" s="203">
        <f>'Cay CN dai ngay'!J54</f>
        <v>0</v>
      </c>
      <c r="L172" s="203">
        <f>'Cay CN dai ngay'!K54</f>
        <v>0</v>
      </c>
      <c r="M172" s="203">
        <f>'Cay CN dai ngay'!L54</f>
        <v>0</v>
      </c>
      <c r="N172" s="203">
        <f>'Cay CN dai ngay'!M54</f>
        <v>0</v>
      </c>
      <c r="O172" s="203">
        <f>'Cay CN dai ngay'!N54</f>
        <v>0</v>
      </c>
      <c r="P172" s="203">
        <f>'Cay CN dai ngay'!O54</f>
        <v>0</v>
      </c>
      <c r="Q172" s="156" t="e">
        <f t="shared" si="59"/>
        <v>#DIV/0!</v>
      </c>
      <c r="R172" s="157">
        <f>D172/B172*100</f>
        <v>0</v>
      </c>
      <c r="S172" s="196"/>
    </row>
    <row r="173" spans="1:19" ht="15.75">
      <c r="A173" s="180" t="s">
        <v>183</v>
      </c>
      <c r="B173" s="181">
        <v>2628</v>
      </c>
      <c r="C173" s="233">
        <v>1072.3</v>
      </c>
      <c r="D173" s="96">
        <f t="shared" si="70"/>
        <v>0</v>
      </c>
      <c r="E173" s="179">
        <f>'Cay CN dai ngay'!D55</f>
        <v>0</v>
      </c>
      <c r="F173" s="179">
        <f>'Cay CN dai ngay'!E55</f>
        <v>0</v>
      </c>
      <c r="G173" s="179">
        <f>'Cay CN dai ngay'!F55</f>
        <v>0</v>
      </c>
      <c r="H173" s="179">
        <f>'Cay CN dai ngay'!G55</f>
        <v>0</v>
      </c>
      <c r="I173" s="179">
        <f>'Cay CN dai ngay'!H55</f>
        <v>0</v>
      </c>
      <c r="J173" s="179">
        <f>'Cay CN dai ngay'!I55</f>
        <v>0</v>
      </c>
      <c r="K173" s="179">
        <f>'Cay CN dai ngay'!J55</f>
        <v>0</v>
      </c>
      <c r="L173" s="179">
        <f>'Cay CN dai ngay'!K55</f>
        <v>0</v>
      </c>
      <c r="M173" s="179">
        <f>'Cay CN dai ngay'!L55</f>
        <v>0</v>
      </c>
      <c r="N173" s="179">
        <f>'Cay CN dai ngay'!M55</f>
        <v>0</v>
      </c>
      <c r="O173" s="179">
        <f>'Cay CN dai ngay'!N55</f>
        <v>0</v>
      </c>
      <c r="P173" s="179">
        <f>'Cay CN dai ngay'!O55</f>
        <v>0</v>
      </c>
      <c r="Q173" s="171">
        <f t="shared" si="59"/>
        <v>0</v>
      </c>
      <c r="R173" s="160">
        <f>D173/B173*100</f>
        <v>0</v>
      </c>
      <c r="S173" s="197"/>
    </row>
    <row r="174" spans="1:19" ht="15.75">
      <c r="A174" s="158" t="s">
        <v>158</v>
      </c>
      <c r="B174" s="23">
        <v>1996.3</v>
      </c>
      <c r="C174" s="374">
        <v>1995.5</v>
      </c>
      <c r="D174" s="23">
        <f t="shared" si="70"/>
        <v>1990.6000000000001</v>
      </c>
      <c r="E174" s="182">
        <f>'Cay CN dai ngay'!D78</f>
        <v>0</v>
      </c>
      <c r="F174" s="182">
        <f>'Cay CN dai ngay'!E78</f>
        <v>78.3</v>
      </c>
      <c r="G174" s="182">
        <f>'Cay CN dai ngay'!F78</f>
        <v>92</v>
      </c>
      <c r="H174" s="182">
        <f>'Cay CN dai ngay'!G78</f>
        <v>0</v>
      </c>
      <c r="I174" s="182">
        <f>'Cay CN dai ngay'!H78</f>
        <v>363.6</v>
      </c>
      <c r="J174" s="182">
        <f>'Cay CN dai ngay'!I78</f>
        <v>5.5</v>
      </c>
      <c r="K174" s="182">
        <f>'Cay CN dai ngay'!J78</f>
        <v>445</v>
      </c>
      <c r="L174" s="182">
        <f>'Cay CN dai ngay'!K78</f>
        <v>670.5</v>
      </c>
      <c r="M174" s="182">
        <f>'Cay CN dai ngay'!L78</f>
        <v>200</v>
      </c>
      <c r="N174" s="182">
        <f>'Cay CN dai ngay'!M78</f>
        <v>37.9</v>
      </c>
      <c r="O174" s="182">
        <f>'Cay CN dai ngay'!N78</f>
        <v>58</v>
      </c>
      <c r="P174" s="182">
        <f>'Cay CN dai ngay'!O78</f>
        <v>39.8</v>
      </c>
      <c r="Q174" s="159">
        <f t="shared" si="59"/>
        <v>99.75444750689051</v>
      </c>
      <c r="R174" s="327">
        <f>D174/B174*100</f>
        <v>99.71447177277966</v>
      </c>
      <c r="S174" s="197"/>
    </row>
    <row r="175" spans="1:19" ht="15.75">
      <c r="A175" s="155" t="s">
        <v>42</v>
      </c>
      <c r="B175" s="46">
        <v>1940.3</v>
      </c>
      <c r="C175" s="233">
        <v>1982.8</v>
      </c>
      <c r="D175" s="46">
        <f t="shared" si="70"/>
        <v>1948.9</v>
      </c>
      <c r="E175" s="84">
        <f>'Cay CN dai ngay'!D81</f>
        <v>0</v>
      </c>
      <c r="F175" s="84">
        <f>'Cay CN dai ngay'!E81</f>
        <v>68</v>
      </c>
      <c r="G175" s="84">
        <f>'Cay CN dai ngay'!F81</f>
        <v>92.6</v>
      </c>
      <c r="H175" s="84">
        <f>'Cay CN dai ngay'!G81</f>
        <v>0</v>
      </c>
      <c r="I175" s="84">
        <f>'Cay CN dai ngay'!H81</f>
        <v>363.6</v>
      </c>
      <c r="J175" s="84">
        <f>'Cay CN dai ngay'!I81</f>
        <v>5.5</v>
      </c>
      <c r="K175" s="84">
        <f>'Cay CN dai ngay'!J81</f>
        <v>414</v>
      </c>
      <c r="L175" s="84">
        <f>'Cay CN dai ngay'!K81</f>
        <v>670</v>
      </c>
      <c r="M175" s="84">
        <f>'Cay CN dai ngay'!L81</f>
        <v>200</v>
      </c>
      <c r="N175" s="84">
        <f>'Cay CN dai ngay'!M81</f>
        <v>36.6</v>
      </c>
      <c r="O175" s="84">
        <f>'Cay CN dai ngay'!N81</f>
        <v>60.4</v>
      </c>
      <c r="P175" s="84">
        <f>'Cay CN dai ngay'!O81</f>
        <v>38.2</v>
      </c>
      <c r="Q175" s="156">
        <f t="shared" si="59"/>
        <v>98.29029655033287</v>
      </c>
      <c r="R175" s="157" t="e">
        <f>D175/#REF!*100</f>
        <v>#REF!</v>
      </c>
      <c r="S175" s="196"/>
    </row>
    <row r="176" spans="1:19" ht="15.75">
      <c r="A176" s="168" t="s">
        <v>18</v>
      </c>
      <c r="B176" s="96"/>
      <c r="C176" s="233">
        <v>32.6</v>
      </c>
      <c r="D176" s="96">
        <f>D177/D175*10</f>
        <v>0</v>
      </c>
      <c r="E176" s="104">
        <f>'Cay CN dai ngay'!D82</f>
        <v>0</v>
      </c>
      <c r="F176" s="104">
        <f>'Cay CN dai ngay'!E82</f>
        <v>0</v>
      </c>
      <c r="G176" s="104">
        <f>'Cay CN dai ngay'!F82</f>
        <v>0</v>
      </c>
      <c r="H176" s="104">
        <f>'Cay CN dai ngay'!G82</f>
        <v>0</v>
      </c>
      <c r="I176" s="104">
        <f>'Cay CN dai ngay'!H82</f>
        <v>0</v>
      </c>
      <c r="J176" s="104">
        <f>'Cay CN dai ngay'!I82</f>
        <v>0</v>
      </c>
      <c r="K176" s="104">
        <f>'Cay CN dai ngay'!J82</f>
        <v>0</v>
      </c>
      <c r="L176" s="104">
        <f>'Cay CN dai ngay'!K82</f>
        <v>0</v>
      </c>
      <c r="M176" s="104">
        <f>'Cay CN dai ngay'!L82</f>
        <v>0</v>
      </c>
      <c r="N176" s="104">
        <f>'Cay CN dai ngay'!M82</f>
        <v>0</v>
      </c>
      <c r="O176" s="104">
        <f>'Cay CN dai ngay'!N82</f>
        <v>0</v>
      </c>
      <c r="P176" s="104">
        <f>'Cay CN dai ngay'!O82</f>
        <v>0</v>
      </c>
      <c r="Q176" s="171">
        <f t="shared" si="59"/>
        <v>0</v>
      </c>
      <c r="R176" s="160" t="e">
        <f>D176/#REF!*100</f>
        <v>#REF!</v>
      </c>
      <c r="S176" s="197"/>
    </row>
    <row r="177" spans="1:19" ht="15.75">
      <c r="A177" s="155" t="s">
        <v>19</v>
      </c>
      <c r="B177" s="46"/>
      <c r="C177" s="233">
        <v>6470.3</v>
      </c>
      <c r="D177" s="46">
        <f>SUM(E177:P177)</f>
        <v>0</v>
      </c>
      <c r="E177" s="84">
        <f>'Cay CN dai ngay'!D83</f>
        <v>0</v>
      </c>
      <c r="F177" s="84">
        <f>'Cay CN dai ngay'!E83</f>
        <v>0</v>
      </c>
      <c r="G177" s="84">
        <f>'Cay CN dai ngay'!F83</f>
        <v>0</v>
      </c>
      <c r="H177" s="84">
        <f>'Cay CN dai ngay'!G83</f>
        <v>0</v>
      </c>
      <c r="I177" s="84">
        <f>'Cay CN dai ngay'!H83</f>
        <v>0</v>
      </c>
      <c r="J177" s="84">
        <f>'Cay CN dai ngay'!I83</f>
        <v>0</v>
      </c>
      <c r="K177" s="84">
        <f>'Cay CN dai ngay'!J83</f>
        <v>0</v>
      </c>
      <c r="L177" s="84">
        <f>'Cay CN dai ngay'!K83</f>
        <v>0</v>
      </c>
      <c r="M177" s="84">
        <f>'Cay CN dai ngay'!L83</f>
        <v>0</v>
      </c>
      <c r="N177" s="84">
        <f>'Cay CN dai ngay'!M83</f>
        <v>0</v>
      </c>
      <c r="O177" s="84">
        <f>'Cay CN dai ngay'!N83</f>
        <v>0</v>
      </c>
      <c r="P177" s="84">
        <f>'Cay CN dai ngay'!O83</f>
        <v>0</v>
      </c>
      <c r="Q177" s="156">
        <f t="shared" si="59"/>
        <v>0</v>
      </c>
      <c r="R177" s="157">
        <f>D177/B175*100</f>
        <v>0</v>
      </c>
      <c r="S177" s="196"/>
    </row>
    <row r="178" spans="1:19" ht="15.75">
      <c r="A178" s="99" t="s">
        <v>45</v>
      </c>
      <c r="B178" s="96">
        <v>27</v>
      </c>
      <c r="C178" s="233">
        <v>10.8</v>
      </c>
      <c r="D178" s="96">
        <f>SUM(E178:P178)</f>
        <v>0</v>
      </c>
      <c r="E178" s="104">
        <f>'Cay CN dai ngay'!D84</f>
        <v>0</v>
      </c>
      <c r="F178" s="104">
        <f>'Cay CN dai ngay'!E84</f>
        <v>0</v>
      </c>
      <c r="G178" s="104">
        <f>'Cay CN dai ngay'!F84</f>
        <v>0</v>
      </c>
      <c r="H178" s="104">
        <f>'Cay CN dai ngay'!G84</f>
        <v>0</v>
      </c>
      <c r="I178" s="104">
        <f>'Cay CN dai ngay'!H84</f>
        <v>0</v>
      </c>
      <c r="J178" s="104">
        <f>'Cay CN dai ngay'!I84</f>
        <v>0</v>
      </c>
      <c r="K178" s="104">
        <f>'Cay CN dai ngay'!J84</f>
        <v>0</v>
      </c>
      <c r="L178" s="104">
        <f>'Cay CN dai ngay'!K84</f>
        <v>0</v>
      </c>
      <c r="M178" s="104">
        <f>'Cay CN dai ngay'!L84</f>
        <v>0</v>
      </c>
      <c r="N178" s="104">
        <f>'Cay CN dai ngay'!M84</f>
        <v>0</v>
      </c>
      <c r="O178" s="104">
        <f>'Cay CN dai ngay'!N84</f>
        <v>0</v>
      </c>
      <c r="P178" s="104">
        <f>'Cay CN dai ngay'!O84</f>
        <v>0</v>
      </c>
      <c r="Q178" s="171">
        <f t="shared" si="59"/>
        <v>0</v>
      </c>
      <c r="R178" s="160" t="e">
        <f>D178/B176*100</f>
        <v>#DIV/0!</v>
      </c>
      <c r="S178" s="197"/>
    </row>
    <row r="179" spans="1:19" ht="15.75">
      <c r="A179" s="158" t="s">
        <v>159</v>
      </c>
      <c r="B179" s="23">
        <v>9271.2</v>
      </c>
      <c r="C179" s="374">
        <v>10553.5</v>
      </c>
      <c r="D179" s="23">
        <f>SUM(E179:P179)</f>
        <v>9972.6</v>
      </c>
      <c r="E179" s="130">
        <f>'Cay CN dai ngay'!D85</f>
        <v>0</v>
      </c>
      <c r="F179" s="130">
        <f>'Cay CN dai ngay'!E85</f>
        <v>726.2</v>
      </c>
      <c r="G179" s="130">
        <f>'Cay CN dai ngay'!F85</f>
        <v>610</v>
      </c>
      <c r="H179" s="130">
        <f>'Cay CN dai ngay'!G85</f>
        <v>0</v>
      </c>
      <c r="I179" s="130">
        <f>'Cay CN dai ngay'!H85</f>
        <v>3583</v>
      </c>
      <c r="J179" s="130">
        <f>'Cay CN dai ngay'!I85</f>
        <v>4</v>
      </c>
      <c r="K179" s="130">
        <f>'Cay CN dai ngay'!J85</f>
        <v>1644</v>
      </c>
      <c r="L179" s="130">
        <f>'Cay CN dai ngay'!K85</f>
        <v>744</v>
      </c>
      <c r="M179" s="130">
        <f>'Cay CN dai ngay'!L85</f>
        <v>576</v>
      </c>
      <c r="N179" s="130">
        <f>'Cay CN dai ngay'!M85</f>
        <v>226.2</v>
      </c>
      <c r="O179" s="130">
        <f>'Cay CN dai ngay'!N85</f>
        <v>1662</v>
      </c>
      <c r="P179" s="130">
        <f>'Cay CN dai ngay'!O85</f>
        <v>197.2</v>
      </c>
      <c r="Q179" s="159">
        <f t="shared" si="59"/>
        <v>94.49566494527882</v>
      </c>
      <c r="R179" s="327">
        <f aca="true" t="shared" si="71" ref="R179:R213">D179/B179*100</f>
        <v>107.5653637069635</v>
      </c>
      <c r="S179" s="197"/>
    </row>
    <row r="180" spans="1:19" ht="15.75">
      <c r="A180" s="155" t="s">
        <v>42</v>
      </c>
      <c r="B180" s="46">
        <v>8197.6</v>
      </c>
      <c r="C180" s="233">
        <v>9967</v>
      </c>
      <c r="D180" s="46">
        <f>SUM(E180:P180)</f>
        <v>9497.300000000001</v>
      </c>
      <c r="E180" s="84">
        <f>'Cay CN dai ngay'!D88</f>
        <v>0</v>
      </c>
      <c r="F180" s="84">
        <f>'Cay CN dai ngay'!E88</f>
        <v>721.2</v>
      </c>
      <c r="G180" s="84">
        <f>'Cay CN dai ngay'!F88</f>
        <v>575</v>
      </c>
      <c r="H180" s="84">
        <f>'Cay CN dai ngay'!G88</f>
        <v>0</v>
      </c>
      <c r="I180" s="84">
        <f>'Cay CN dai ngay'!H88</f>
        <v>3478</v>
      </c>
      <c r="J180" s="84">
        <f>'Cay CN dai ngay'!I88</f>
        <v>4</v>
      </c>
      <c r="K180" s="84">
        <f>'Cay CN dai ngay'!J88</f>
        <v>1641.8</v>
      </c>
      <c r="L180" s="84">
        <f>'Cay CN dai ngay'!K88</f>
        <v>634.6</v>
      </c>
      <c r="M180" s="84">
        <f>'Cay CN dai ngay'!L88</f>
        <v>357.3</v>
      </c>
      <c r="N180" s="84">
        <f>'Cay CN dai ngay'!M88</f>
        <v>226.2</v>
      </c>
      <c r="O180" s="84">
        <f>'Cay CN dai ngay'!N88</f>
        <v>1662</v>
      </c>
      <c r="P180" s="84">
        <f>'Cay CN dai ngay'!O88</f>
        <v>197.2</v>
      </c>
      <c r="Q180" s="156">
        <f t="shared" si="59"/>
        <v>95.28744858031504</v>
      </c>
      <c r="R180" s="157">
        <f t="shared" si="71"/>
        <v>115.854640382551</v>
      </c>
      <c r="S180" s="196"/>
    </row>
    <row r="181" spans="1:19" ht="15.75">
      <c r="A181" s="168" t="s">
        <v>18</v>
      </c>
      <c r="B181" s="96">
        <v>230.8</v>
      </c>
      <c r="C181" s="233">
        <v>278.4</v>
      </c>
      <c r="D181" s="96">
        <f>'Cay CN dai ngay'!C89</f>
        <v>267.47974687542774</v>
      </c>
      <c r="E181" s="104">
        <f>'Cay CN dai ngay'!D89</f>
        <v>0</v>
      </c>
      <c r="F181" s="104">
        <f>'Cay CN dai ngay'!E89</f>
        <v>212</v>
      </c>
      <c r="G181" s="104">
        <f>'Cay CN dai ngay'!F89</f>
        <v>187</v>
      </c>
      <c r="H181" s="104">
        <f>'Cay CN dai ngay'!G89</f>
        <v>0</v>
      </c>
      <c r="I181" s="104">
        <f>'Cay CN dai ngay'!H89</f>
        <v>260</v>
      </c>
      <c r="J181" s="104">
        <f>'Cay CN dai ngay'!I89</f>
        <v>200</v>
      </c>
      <c r="K181" s="104">
        <f>'Cay CN dai ngay'!J89</f>
        <v>350</v>
      </c>
      <c r="L181" s="104">
        <f>'Cay CN dai ngay'!K89</f>
        <v>340</v>
      </c>
      <c r="M181" s="104">
        <f>'Cay CN dai ngay'!L89</f>
        <v>350</v>
      </c>
      <c r="N181" s="104">
        <f>'Cay CN dai ngay'!M89</f>
        <v>180</v>
      </c>
      <c r="O181" s="104">
        <f>'Cay CN dai ngay'!N89</f>
        <v>235</v>
      </c>
      <c r="P181" s="104">
        <f>'Cay CN dai ngay'!O89</f>
        <v>142.5</v>
      </c>
      <c r="Q181" s="171">
        <f t="shared" si="59"/>
        <v>96.077495285714</v>
      </c>
      <c r="R181" s="160">
        <f t="shared" si="71"/>
        <v>115.89243798762033</v>
      </c>
      <c r="S181" s="197"/>
    </row>
    <row r="182" spans="1:19" ht="15.75">
      <c r="A182" s="155" t="s">
        <v>19</v>
      </c>
      <c r="B182" s="46">
        <v>141875.4</v>
      </c>
      <c r="C182" s="233">
        <v>277509</v>
      </c>
      <c r="D182" s="46">
        <f>SUM(E182:P182)</f>
        <v>21169.461666666666</v>
      </c>
      <c r="E182" s="84">
        <f>'Cay CN dai ngay'!D90</f>
        <v>0</v>
      </c>
      <c r="F182" s="84">
        <f>'Cay CN dai ngay'!E90</f>
        <v>1274.1200000000001</v>
      </c>
      <c r="G182" s="84">
        <f>'Cay CN dai ngay'!F90</f>
        <v>896.0416666666666</v>
      </c>
      <c r="H182" s="84">
        <f>'Cay CN dai ngay'!G90</f>
        <v>0</v>
      </c>
      <c r="I182" s="84">
        <f>'Cay CN dai ngay'!H90</f>
        <v>7535.666666666667</v>
      </c>
      <c r="J182" s="84">
        <f>'Cay CN dai ngay'!I90</f>
        <v>6.666666666666667</v>
      </c>
      <c r="K182" s="84">
        <f>'Cay CN dai ngay'!J90</f>
        <v>4788.583333333333</v>
      </c>
      <c r="L182" s="84">
        <f>'Cay CN dai ngay'!K90</f>
        <v>1798.0333333333335</v>
      </c>
      <c r="M182" s="84">
        <f>'Cay CN dai ngay'!L90</f>
        <v>1042.125</v>
      </c>
      <c r="N182" s="84">
        <f>'Cay CN dai ngay'!M90</f>
        <v>339.3</v>
      </c>
      <c r="O182" s="84">
        <f>'Cay CN dai ngay'!N90</f>
        <v>3254.75</v>
      </c>
      <c r="P182" s="84">
        <f>'Cay CN dai ngay'!O90</f>
        <v>234.17499999999998</v>
      </c>
      <c r="Q182" s="156">
        <f t="shared" si="59"/>
        <v>7.628387427675018</v>
      </c>
      <c r="R182" s="157">
        <f t="shared" si="71"/>
        <v>14.92116439260553</v>
      </c>
      <c r="S182" s="196"/>
    </row>
    <row r="183" spans="1:19" ht="15.75">
      <c r="A183" s="99" t="s">
        <v>45</v>
      </c>
      <c r="B183" s="96">
        <v>269.1</v>
      </c>
      <c r="C183" s="233">
        <v>582.1</v>
      </c>
      <c r="D183" s="96">
        <f>SUM(E183:P183)</f>
        <v>0</v>
      </c>
      <c r="E183" s="104">
        <f>'Cay CN dai ngay'!D91</f>
        <v>0</v>
      </c>
      <c r="F183" s="104">
        <f>'Cay CN dai ngay'!E91</f>
        <v>0</v>
      </c>
      <c r="G183" s="104">
        <f>'Cay CN dai ngay'!F91</f>
        <v>0</v>
      </c>
      <c r="H183" s="104">
        <f>'Cay CN dai ngay'!G91</f>
        <v>0</v>
      </c>
      <c r="I183" s="104">
        <f>'Cay CN dai ngay'!H91</f>
        <v>0</v>
      </c>
      <c r="J183" s="104">
        <f>'Cay CN dai ngay'!I91</f>
        <v>0</v>
      </c>
      <c r="K183" s="104">
        <f>'Cay CN dai ngay'!J91</f>
        <v>0</v>
      </c>
      <c r="L183" s="104">
        <f>'Cay CN dai ngay'!K91</f>
        <v>0</v>
      </c>
      <c r="M183" s="104">
        <f>'Cay CN dai ngay'!L91</f>
        <v>0</v>
      </c>
      <c r="N183" s="104">
        <f>'Cay CN dai ngay'!M91</f>
        <v>0</v>
      </c>
      <c r="O183" s="104">
        <f>'Cay CN dai ngay'!N91</f>
        <v>0</v>
      </c>
      <c r="P183" s="104">
        <f>'Cay CN dai ngay'!O91</f>
        <v>0</v>
      </c>
      <c r="Q183" s="171">
        <f t="shared" si="59"/>
        <v>0</v>
      </c>
      <c r="R183" s="160">
        <f t="shared" si="71"/>
        <v>0</v>
      </c>
      <c r="S183" s="197"/>
    </row>
    <row r="184" spans="1:19" ht="15.75" customHeight="1" hidden="1">
      <c r="A184" s="155" t="s">
        <v>46</v>
      </c>
      <c r="B184" s="46"/>
      <c r="C184" s="231"/>
      <c r="D184" s="46">
        <f>SUM(E184:P184)</f>
        <v>0</v>
      </c>
      <c r="E184" s="84">
        <f>'Cay CN dai ngay'!D94</f>
        <v>0</v>
      </c>
      <c r="F184" s="84">
        <f>'Cay CN dai ngay'!E94</f>
        <v>0</v>
      </c>
      <c r="G184" s="84">
        <f>'Cay CN dai ngay'!F94</f>
        <v>0</v>
      </c>
      <c r="H184" s="84">
        <f>'Cay CN dai ngay'!G94</f>
        <v>0</v>
      </c>
      <c r="I184" s="84">
        <f>'Cay CN dai ngay'!H94</f>
        <v>0</v>
      </c>
      <c r="J184" s="84">
        <f>'Cay CN dai ngay'!I94</f>
        <v>0</v>
      </c>
      <c r="K184" s="84">
        <f>'Cay CN dai ngay'!J94</f>
        <v>0</v>
      </c>
      <c r="L184" s="84">
        <f>'Cay CN dai ngay'!K94</f>
        <v>0</v>
      </c>
      <c r="M184" s="84">
        <f>'Cay CN dai ngay'!L94</f>
        <v>0</v>
      </c>
      <c r="N184" s="84">
        <f>'Cay CN dai ngay'!M94</f>
        <v>0</v>
      </c>
      <c r="O184" s="84">
        <f>'Cay CN dai ngay'!N94</f>
        <v>0</v>
      </c>
      <c r="P184" s="84">
        <f>'Cay CN dai ngay'!O94</f>
        <v>0</v>
      </c>
      <c r="Q184" s="156" t="e">
        <f t="shared" si="59"/>
        <v>#DIV/0!</v>
      </c>
      <c r="R184" s="157" t="e">
        <f t="shared" si="71"/>
        <v>#DIV/0!</v>
      </c>
      <c r="S184" s="196"/>
    </row>
    <row r="185" spans="1:19" ht="15.75">
      <c r="A185" s="158" t="s">
        <v>160</v>
      </c>
      <c r="B185" s="23">
        <v>28612.8</v>
      </c>
      <c r="C185" s="374">
        <v>32911.3</v>
      </c>
      <c r="D185" s="23">
        <f>SUM(E185:P185)</f>
        <v>31450.1</v>
      </c>
      <c r="E185" s="182">
        <f>'Cay CN dai ngay'!D95</f>
        <v>660</v>
      </c>
      <c r="F185" s="182">
        <f>'Cay CN dai ngay'!E95</f>
        <v>1452</v>
      </c>
      <c r="G185" s="182">
        <f>'Cay CN dai ngay'!F95</f>
        <v>1892</v>
      </c>
      <c r="H185" s="182">
        <f>'Cay CN dai ngay'!G95</f>
        <v>1265</v>
      </c>
      <c r="I185" s="182">
        <f>'Cay CN dai ngay'!H95</f>
        <v>1930</v>
      </c>
      <c r="J185" s="182">
        <f>'Cay CN dai ngay'!I95</f>
        <v>1497</v>
      </c>
      <c r="K185" s="182">
        <f>'Cay CN dai ngay'!J95</f>
        <v>1411.7</v>
      </c>
      <c r="L185" s="182">
        <f>'Cay CN dai ngay'!K95</f>
        <v>7355.8</v>
      </c>
      <c r="M185" s="182">
        <f>'Cay CN dai ngay'!L95</f>
        <v>5046</v>
      </c>
      <c r="N185" s="182">
        <f>'Cay CN dai ngay'!M95</f>
        <v>5427.1</v>
      </c>
      <c r="O185" s="182">
        <f>'Cay CN dai ngay'!N95</f>
        <v>2369.2</v>
      </c>
      <c r="P185" s="182">
        <f>'Cay CN dai ngay'!O95</f>
        <v>1144.3</v>
      </c>
      <c r="Q185" s="159">
        <f t="shared" si="59"/>
        <v>95.56018753437267</v>
      </c>
      <c r="R185" s="327">
        <f t="shared" si="71"/>
        <v>109.91619135491808</v>
      </c>
      <c r="S185" s="197"/>
    </row>
    <row r="186" spans="1:19" ht="15.75">
      <c r="A186" s="155" t="s">
        <v>42</v>
      </c>
      <c r="B186" s="46">
        <v>15909</v>
      </c>
      <c r="C186" s="233">
        <v>19347</v>
      </c>
      <c r="D186" s="46">
        <f>SUM(E186:P186)</f>
        <v>17651.5</v>
      </c>
      <c r="E186" s="162">
        <f>'Cay CN dai ngay'!D98</f>
        <v>500</v>
      </c>
      <c r="F186" s="162">
        <f>'Cay CN dai ngay'!E98</f>
        <v>800</v>
      </c>
      <c r="G186" s="162">
        <f>'Cay CN dai ngay'!F98</f>
        <v>875</v>
      </c>
      <c r="H186" s="162">
        <f>'Cay CN dai ngay'!G98</f>
        <v>718</v>
      </c>
      <c r="I186" s="162">
        <f>'Cay CN dai ngay'!H98</f>
        <v>875.5</v>
      </c>
      <c r="J186" s="162">
        <f>'Cay CN dai ngay'!I98</f>
        <v>1447</v>
      </c>
      <c r="K186" s="162">
        <f>'Cay CN dai ngay'!J98</f>
        <v>1118</v>
      </c>
      <c r="L186" s="162">
        <f>'Cay CN dai ngay'!K98</f>
        <v>3050</v>
      </c>
      <c r="M186" s="162">
        <f>'Cay CN dai ngay'!L98</f>
        <v>3887</v>
      </c>
      <c r="N186" s="162">
        <f>'Cay CN dai ngay'!M98</f>
        <v>2901</v>
      </c>
      <c r="O186" s="162">
        <f>'Cay CN dai ngay'!N98</f>
        <v>860</v>
      </c>
      <c r="P186" s="162">
        <f>'Cay CN dai ngay'!O98</f>
        <v>620</v>
      </c>
      <c r="Q186" s="156">
        <f t="shared" si="59"/>
        <v>91.23636739546183</v>
      </c>
      <c r="R186" s="157">
        <f t="shared" si="71"/>
        <v>110.9529197309699</v>
      </c>
      <c r="S186" s="196"/>
    </row>
    <row r="187" spans="1:19" ht="15.75">
      <c r="A187" s="168" t="s">
        <v>18</v>
      </c>
      <c r="B187" s="96">
        <v>136.3</v>
      </c>
      <c r="C187" s="233">
        <v>160.3</v>
      </c>
      <c r="D187" s="96">
        <f>'Cay CN dai ngay'!C99</f>
        <v>157.90556043395748</v>
      </c>
      <c r="E187" s="170">
        <f>'Cay CN dai ngay'!D99</f>
        <v>130</v>
      </c>
      <c r="F187" s="170">
        <f>'Cay CN dai ngay'!E99</f>
        <v>150</v>
      </c>
      <c r="G187" s="170">
        <f>'Cay CN dai ngay'!F99</f>
        <v>130</v>
      </c>
      <c r="H187" s="170">
        <f>'Cay CN dai ngay'!G99</f>
        <v>130</v>
      </c>
      <c r="I187" s="170">
        <f>'Cay CN dai ngay'!H99</f>
        <v>160</v>
      </c>
      <c r="J187" s="170">
        <f>'Cay CN dai ngay'!I99</f>
        <v>140</v>
      </c>
      <c r="K187" s="170">
        <f>'Cay CN dai ngay'!J99</f>
        <v>340</v>
      </c>
      <c r="L187" s="170">
        <f>'Cay CN dai ngay'!K99</f>
        <v>150</v>
      </c>
      <c r="M187" s="170">
        <f>'Cay CN dai ngay'!L99</f>
        <v>150</v>
      </c>
      <c r="N187" s="170">
        <f>'Cay CN dai ngay'!M99</f>
        <v>150</v>
      </c>
      <c r="O187" s="170">
        <f>'Cay CN dai ngay'!N99</f>
        <v>135</v>
      </c>
      <c r="P187" s="170">
        <f>'Cay CN dai ngay'!O99</f>
        <v>130</v>
      </c>
      <c r="Q187" s="171">
        <f t="shared" si="59"/>
        <v>98.50627600371644</v>
      </c>
      <c r="R187" s="160">
        <f t="shared" si="71"/>
        <v>115.85147500657187</v>
      </c>
      <c r="S187" s="197"/>
    </row>
    <row r="188" spans="1:19" ht="15.75">
      <c r="A188" s="155" t="s">
        <v>19</v>
      </c>
      <c r="B188" s="46">
        <v>162660.8</v>
      </c>
      <c r="C188" s="233">
        <v>310077.1</v>
      </c>
      <c r="D188" s="46">
        <f>SUM(E188:P188)</f>
        <v>23227.250000000004</v>
      </c>
      <c r="E188" s="162">
        <f>'Cay CN dai ngay'!D100</f>
        <v>541.6666666666666</v>
      </c>
      <c r="F188" s="162">
        <f>'Cay CN dai ngay'!E100</f>
        <v>1000</v>
      </c>
      <c r="G188" s="162">
        <f>'Cay CN dai ngay'!F100</f>
        <v>947.9166666666666</v>
      </c>
      <c r="H188" s="162">
        <f>'Cay CN dai ngay'!G100</f>
        <v>777.8333333333334</v>
      </c>
      <c r="I188" s="162">
        <f>'Cay CN dai ngay'!H100</f>
        <v>1167.3333333333333</v>
      </c>
      <c r="J188" s="162">
        <f>'Cay CN dai ngay'!I100</f>
        <v>1688.1666666666667</v>
      </c>
      <c r="K188" s="162">
        <f>'Cay CN dai ngay'!J100</f>
        <v>3167.6666666666665</v>
      </c>
      <c r="L188" s="162">
        <f>'Cay CN dai ngay'!K100</f>
        <v>3812.5</v>
      </c>
      <c r="M188" s="162">
        <f>'Cay CN dai ngay'!L100</f>
        <v>4858.75</v>
      </c>
      <c r="N188" s="162">
        <f>'Cay CN dai ngay'!M100</f>
        <v>3626.25</v>
      </c>
      <c r="O188" s="162">
        <f>'Cay CN dai ngay'!N100</f>
        <v>967.5</v>
      </c>
      <c r="P188" s="162">
        <f>'Cay CN dai ngay'!O100</f>
        <v>671.6666666666666</v>
      </c>
      <c r="Q188" s="156">
        <f t="shared" si="59"/>
        <v>7.490798256304644</v>
      </c>
      <c r="R188" s="157">
        <f t="shared" si="71"/>
        <v>14.27956213174902</v>
      </c>
      <c r="S188" s="196"/>
    </row>
    <row r="189" spans="1:19" ht="15.75">
      <c r="A189" s="99" t="s">
        <v>45</v>
      </c>
      <c r="B189" s="96">
        <v>3331.3</v>
      </c>
      <c r="C189" s="233">
        <v>1639.1</v>
      </c>
      <c r="D189" s="96">
        <f>SUM(E189:P189)</f>
        <v>2211.1000000000004</v>
      </c>
      <c r="E189" s="170">
        <f>'Cay CN dai ngay'!D101</f>
        <v>1</v>
      </c>
      <c r="F189" s="170">
        <f>'Cay CN dai ngay'!E101</f>
        <v>45</v>
      </c>
      <c r="G189" s="170">
        <f>'Cay CN dai ngay'!F101</f>
        <v>221</v>
      </c>
      <c r="H189" s="170">
        <f>'Cay CN dai ngay'!G101</f>
        <v>55</v>
      </c>
      <c r="I189" s="170">
        <f>'Cay CN dai ngay'!H101</f>
        <v>260</v>
      </c>
      <c r="J189" s="170">
        <f>'Cay CN dai ngay'!I101</f>
        <v>7</v>
      </c>
      <c r="K189" s="170">
        <f>'Cay CN dai ngay'!J101</f>
        <v>145</v>
      </c>
      <c r="L189" s="170">
        <f>'Cay CN dai ngay'!K101</f>
        <v>580.9</v>
      </c>
      <c r="M189" s="170">
        <f>'Cay CN dai ngay'!L101</f>
        <v>250</v>
      </c>
      <c r="N189" s="170">
        <f>'Cay CN dai ngay'!M101</f>
        <v>453.9</v>
      </c>
      <c r="O189" s="170">
        <f>'Cay CN dai ngay'!N101</f>
        <v>95</v>
      </c>
      <c r="P189" s="170">
        <f>'Cay CN dai ngay'!O101</f>
        <v>97.3</v>
      </c>
      <c r="Q189" s="171">
        <f t="shared" si="59"/>
        <v>134.89719968275276</v>
      </c>
      <c r="R189" s="160">
        <f t="shared" si="71"/>
        <v>66.37348782757483</v>
      </c>
      <c r="S189" s="197"/>
    </row>
    <row r="190" spans="1:19" ht="15.75">
      <c r="A190" s="158" t="s">
        <v>161</v>
      </c>
      <c r="B190" s="183">
        <v>177.5</v>
      </c>
      <c r="C190" s="374">
        <v>172.5</v>
      </c>
      <c r="D190" s="23">
        <f>SUM(E190:P190)</f>
        <v>172.5</v>
      </c>
      <c r="E190" s="182">
        <f>'Cay CN dai ngay'!D183</f>
        <v>0</v>
      </c>
      <c r="F190" s="182">
        <f>'Cay CN dai ngay'!E183</f>
        <v>0</v>
      </c>
      <c r="G190" s="182">
        <f>'Cay CN dai ngay'!F183</f>
        <v>89</v>
      </c>
      <c r="H190" s="182">
        <f>'Cay CN dai ngay'!G183</f>
        <v>0</v>
      </c>
      <c r="I190" s="182">
        <f>'Cay CN dai ngay'!H183</f>
        <v>0</v>
      </c>
      <c r="J190" s="182">
        <f>'Cay CN dai ngay'!I183</f>
        <v>5</v>
      </c>
      <c r="K190" s="182">
        <f>'Cay CN dai ngay'!J183</f>
        <v>0</v>
      </c>
      <c r="L190" s="182">
        <f>'Cay CN dai ngay'!K183</f>
        <v>1.4</v>
      </c>
      <c r="M190" s="182">
        <f>'Cay CN dai ngay'!L183</f>
        <v>0</v>
      </c>
      <c r="N190" s="182">
        <f>'Cay CN dai ngay'!M183</f>
        <v>49.400000000000006</v>
      </c>
      <c r="O190" s="182">
        <f>'Cay CN dai ngay'!N183</f>
        <v>9.7</v>
      </c>
      <c r="P190" s="182">
        <f>'Cay CN dai ngay'!O183</f>
        <v>18</v>
      </c>
      <c r="Q190" s="159">
        <f t="shared" si="59"/>
        <v>100</v>
      </c>
      <c r="R190" s="327">
        <f t="shared" si="71"/>
        <v>97.1830985915493</v>
      </c>
      <c r="S190" s="197"/>
    </row>
    <row r="191" spans="1:19" ht="15.75">
      <c r="A191" s="155" t="s">
        <v>42</v>
      </c>
      <c r="B191" s="205">
        <v>177.5</v>
      </c>
      <c r="C191" s="233">
        <v>172.5</v>
      </c>
      <c r="D191" s="46">
        <f>SUM(E191:P191)</f>
        <v>172.5</v>
      </c>
      <c r="E191" s="162">
        <f>'Cay CN dai ngay'!D184</f>
        <v>0</v>
      </c>
      <c r="F191" s="162">
        <f>'Cay CN dai ngay'!E184</f>
        <v>0</v>
      </c>
      <c r="G191" s="162">
        <f>'Cay CN dai ngay'!F184</f>
        <v>89</v>
      </c>
      <c r="H191" s="162">
        <f>'Cay CN dai ngay'!G184</f>
        <v>0</v>
      </c>
      <c r="I191" s="162">
        <f>'Cay CN dai ngay'!H184</f>
        <v>0</v>
      </c>
      <c r="J191" s="162">
        <f>'Cay CN dai ngay'!I184</f>
        <v>5</v>
      </c>
      <c r="K191" s="162">
        <f>'Cay CN dai ngay'!J184</f>
        <v>0</v>
      </c>
      <c r="L191" s="162">
        <f>'Cay CN dai ngay'!K184</f>
        <v>1.4</v>
      </c>
      <c r="M191" s="162">
        <f>'Cay CN dai ngay'!L184</f>
        <v>0</v>
      </c>
      <c r="N191" s="162">
        <f>'Cay CN dai ngay'!M184</f>
        <v>49.4</v>
      </c>
      <c r="O191" s="162">
        <f>'Cay CN dai ngay'!N184</f>
        <v>9.7</v>
      </c>
      <c r="P191" s="162">
        <f>'Cay CN dai ngay'!O184</f>
        <v>18</v>
      </c>
      <c r="Q191" s="156">
        <f t="shared" si="59"/>
        <v>100</v>
      </c>
      <c r="R191" s="157">
        <f t="shared" si="71"/>
        <v>97.1830985915493</v>
      </c>
      <c r="S191" s="196"/>
    </row>
    <row r="192" spans="1:19" ht="15.75">
      <c r="A192" s="168" t="s">
        <v>18</v>
      </c>
      <c r="B192" s="176">
        <v>11.8</v>
      </c>
      <c r="C192" s="233">
        <v>9.2</v>
      </c>
      <c r="D192" s="96">
        <f>(D193/D191*10)/5*12</f>
        <v>1.7326956521739127</v>
      </c>
      <c r="E192" s="170">
        <f>'Cay CN dai ngay'!D185</f>
        <v>0</v>
      </c>
      <c r="F192" s="170">
        <f>'Cay CN dai ngay'!E185</f>
        <v>0</v>
      </c>
      <c r="G192" s="170">
        <f>'Cay CN dai ngay'!F185</f>
        <v>8</v>
      </c>
      <c r="H192" s="170">
        <f>'Cay CN dai ngay'!G185</f>
        <v>0</v>
      </c>
      <c r="I192" s="170">
        <f>'Cay CN dai ngay'!H185</f>
        <v>0</v>
      </c>
      <c r="J192" s="170">
        <f>'Cay CN dai ngay'!I185</f>
        <v>3</v>
      </c>
      <c r="K192" s="170">
        <f>'Cay CN dai ngay'!J185</f>
        <v>0</v>
      </c>
      <c r="L192" s="170">
        <f>'Cay CN dai ngay'!K185</f>
        <v>7</v>
      </c>
      <c r="M192" s="170">
        <f>'Cay CN dai ngay'!L185</f>
        <v>0</v>
      </c>
      <c r="N192" s="170">
        <f>'Cay CN dai ngay'!M185</f>
        <v>9.5</v>
      </c>
      <c r="O192" s="170">
        <f>'Cay CN dai ngay'!N185</f>
        <v>9.5</v>
      </c>
      <c r="P192" s="170">
        <f>'Cay CN dai ngay'!O185</f>
        <v>10.9</v>
      </c>
      <c r="Q192" s="171">
        <f t="shared" si="59"/>
        <v>18.833648393194704</v>
      </c>
      <c r="R192" s="160">
        <f t="shared" si="71"/>
        <v>14.683861459100955</v>
      </c>
      <c r="S192" s="197"/>
    </row>
    <row r="193" spans="1:19" ht="15.75">
      <c r="A193" s="155" t="s">
        <v>19</v>
      </c>
      <c r="B193" s="205">
        <v>87.6</v>
      </c>
      <c r="C193" s="233">
        <v>158.2</v>
      </c>
      <c r="D193" s="46">
        <f aca="true" t="shared" si="72" ref="D193:D200">SUM(E193:P193)</f>
        <v>12.45375</v>
      </c>
      <c r="E193" s="162">
        <f>'Cay CN dai ngay'!D186</f>
        <v>0</v>
      </c>
      <c r="F193" s="162">
        <f>'Cay CN dai ngay'!E186</f>
        <v>0</v>
      </c>
      <c r="G193" s="162">
        <f>'Cay CN dai ngay'!F186</f>
        <v>5.933333333333334</v>
      </c>
      <c r="H193" s="162">
        <f>'Cay CN dai ngay'!G186</f>
        <v>0</v>
      </c>
      <c r="I193" s="162">
        <f>'Cay CN dai ngay'!H186</f>
        <v>0</v>
      </c>
      <c r="J193" s="162">
        <f>'Cay CN dai ngay'!I186</f>
        <v>0.125</v>
      </c>
      <c r="K193" s="162">
        <f>'Cay CN dai ngay'!J186</f>
        <v>0</v>
      </c>
      <c r="L193" s="162">
        <f>'Cay CN dai ngay'!K186</f>
        <v>0.08166666666666665</v>
      </c>
      <c r="M193" s="162">
        <f>'Cay CN dai ngay'!L186</f>
        <v>0</v>
      </c>
      <c r="N193" s="162">
        <f>'Cay CN dai ngay'!M186</f>
        <v>3.910833333333333</v>
      </c>
      <c r="O193" s="162">
        <f>'Cay CN dai ngay'!N186</f>
        <v>0.7679166666666667</v>
      </c>
      <c r="P193" s="162">
        <f>'Cay CN dai ngay'!O186</f>
        <v>1.635</v>
      </c>
      <c r="Q193" s="156">
        <f aca="true" t="shared" si="73" ref="Q193:Q213">D193/C193*100</f>
        <v>7.872155499367889</v>
      </c>
      <c r="R193" s="157">
        <f t="shared" si="71"/>
        <v>14.216609589041095</v>
      </c>
      <c r="S193" s="196"/>
    </row>
    <row r="194" spans="1:19" ht="15.75">
      <c r="A194" s="99" t="s">
        <v>45</v>
      </c>
      <c r="B194" s="111">
        <v>72.7</v>
      </c>
      <c r="C194" s="233"/>
      <c r="D194" s="96">
        <f t="shared" si="72"/>
        <v>0</v>
      </c>
      <c r="E194" s="170">
        <f>'Cay CN dai ngay'!D187</f>
        <v>0</v>
      </c>
      <c r="F194" s="170">
        <f>'Cay CN dai ngay'!E187</f>
        <v>0</v>
      </c>
      <c r="G194" s="170">
        <f>'Cay CN dai ngay'!F187</f>
        <v>0</v>
      </c>
      <c r="H194" s="170">
        <f>'Cay CN dai ngay'!G187</f>
        <v>0</v>
      </c>
      <c r="I194" s="170">
        <f>'Cay CN dai ngay'!H187</f>
        <v>0</v>
      </c>
      <c r="J194" s="170">
        <f>'Cay CN dai ngay'!I187</f>
        <v>0</v>
      </c>
      <c r="K194" s="170">
        <f>'Cay CN dai ngay'!J187</f>
        <v>0</v>
      </c>
      <c r="L194" s="170">
        <f>'Cay CN dai ngay'!K187</f>
        <v>0</v>
      </c>
      <c r="M194" s="170">
        <f>'Cay CN dai ngay'!L187</f>
        <v>0</v>
      </c>
      <c r="N194" s="170">
        <f>'Cay CN dai ngay'!M187</f>
        <v>0</v>
      </c>
      <c r="O194" s="170">
        <f>'Cay CN dai ngay'!N187</f>
        <v>0</v>
      </c>
      <c r="P194" s="170">
        <f>'Cay CN dai ngay'!O187</f>
        <v>0</v>
      </c>
      <c r="Q194" s="171" t="e">
        <f t="shared" si="73"/>
        <v>#DIV/0!</v>
      </c>
      <c r="R194" s="160">
        <f t="shared" si="71"/>
        <v>0</v>
      </c>
      <c r="S194" s="197"/>
    </row>
    <row r="195" spans="1:19" ht="15.75">
      <c r="A195" s="21" t="s">
        <v>185</v>
      </c>
      <c r="B195" s="57">
        <v>313.6</v>
      </c>
      <c r="C195" s="374">
        <v>313.8</v>
      </c>
      <c r="D195" s="23">
        <f t="shared" si="72"/>
        <v>313.79999999999995</v>
      </c>
      <c r="E195" s="184">
        <f>'Cay CN dai ngay'!D188</f>
        <v>0</v>
      </c>
      <c r="F195" s="184">
        <f>'Cay CN dai ngay'!E188</f>
        <v>15</v>
      </c>
      <c r="G195" s="184">
        <f>'Cay CN dai ngay'!F188</f>
        <v>29</v>
      </c>
      <c r="H195" s="184">
        <f>'Cay CN dai ngay'!G188</f>
        <v>0</v>
      </c>
      <c r="I195" s="184">
        <f>'Cay CN dai ngay'!H188</f>
        <v>10</v>
      </c>
      <c r="J195" s="184">
        <f>'Cay CN dai ngay'!I188</f>
        <v>16</v>
      </c>
      <c r="K195" s="184">
        <f>'Cay CN dai ngay'!J188</f>
        <v>11.2</v>
      </c>
      <c r="L195" s="184">
        <f>'Cay CN dai ngay'!K188</f>
        <v>27.8</v>
      </c>
      <c r="M195" s="184">
        <f>'Cay CN dai ngay'!L188</f>
        <v>0</v>
      </c>
      <c r="N195" s="184">
        <f>'Cay CN dai ngay'!M188</f>
        <v>10.1</v>
      </c>
      <c r="O195" s="184">
        <f>'Cay CN dai ngay'!N188</f>
        <v>179.7</v>
      </c>
      <c r="P195" s="184">
        <f>'Cay CN dai ngay'!O188</f>
        <v>15</v>
      </c>
      <c r="Q195" s="159">
        <f t="shared" si="73"/>
        <v>99.99999999999997</v>
      </c>
      <c r="R195" s="327">
        <f t="shared" si="71"/>
        <v>100.06377551020407</v>
      </c>
      <c r="S195" s="197"/>
    </row>
    <row r="196" spans="1:19" ht="15.75">
      <c r="A196" s="25" t="s">
        <v>45</v>
      </c>
      <c r="B196" s="58">
        <v>26.7</v>
      </c>
      <c r="C196" s="233"/>
      <c r="D196" s="46">
        <f t="shared" si="72"/>
        <v>0</v>
      </c>
      <c r="E196" s="46">
        <f>'Cay CN dai ngay'!D192</f>
        <v>0</v>
      </c>
      <c r="F196" s="46">
        <f>'Cay CN dai ngay'!E192</f>
        <v>0</v>
      </c>
      <c r="G196" s="46">
        <f>'Cay CN dai ngay'!F192</f>
        <v>0</v>
      </c>
      <c r="H196" s="46">
        <f>'Cay CN dai ngay'!G192</f>
        <v>0</v>
      </c>
      <c r="I196" s="46">
        <f>'Cay CN dai ngay'!H192</f>
        <v>0</v>
      </c>
      <c r="J196" s="46">
        <f>'Cay CN dai ngay'!I192</f>
        <v>0</v>
      </c>
      <c r="K196" s="46">
        <f>'Cay CN dai ngay'!J192</f>
        <v>0</v>
      </c>
      <c r="L196" s="46">
        <f>'Cay CN dai ngay'!K192</f>
        <v>0</v>
      </c>
      <c r="M196" s="46">
        <f>'Cay CN dai ngay'!L192</f>
        <v>0</v>
      </c>
      <c r="N196" s="46">
        <f>'Cay CN dai ngay'!M192</f>
        <v>0</v>
      </c>
      <c r="O196" s="46">
        <f>'Cay CN dai ngay'!N192</f>
        <v>0</v>
      </c>
      <c r="P196" s="46">
        <f>'Cay CN dai ngay'!O192</f>
        <v>0</v>
      </c>
      <c r="Q196" s="156" t="e">
        <f t="shared" si="73"/>
        <v>#DIV/0!</v>
      </c>
      <c r="R196" s="157">
        <f t="shared" si="71"/>
        <v>0</v>
      </c>
      <c r="S196" s="196"/>
    </row>
    <row r="197" spans="1:19" ht="15.75">
      <c r="A197" s="21" t="s">
        <v>130</v>
      </c>
      <c r="B197" s="23">
        <v>8942.8</v>
      </c>
      <c r="C197" s="374">
        <v>9207</v>
      </c>
      <c r="D197" s="23">
        <f t="shared" si="72"/>
        <v>9207</v>
      </c>
      <c r="E197" s="183">
        <f>'Cay CN dai ngay'!D193</f>
        <v>0</v>
      </c>
      <c r="F197" s="183">
        <f>'Cay CN dai ngay'!E193</f>
        <v>0</v>
      </c>
      <c r="G197" s="183">
        <f>'Cay CN dai ngay'!F193</f>
        <v>129</v>
      </c>
      <c r="H197" s="183">
        <f>'Cay CN dai ngay'!G193</f>
        <v>0</v>
      </c>
      <c r="I197" s="183">
        <f>'Cay CN dai ngay'!H193</f>
        <v>0</v>
      </c>
      <c r="J197" s="183">
        <f>'Cay CN dai ngay'!I193</f>
        <v>0</v>
      </c>
      <c r="K197" s="183">
        <f>'Cay CN dai ngay'!J193</f>
        <v>0</v>
      </c>
      <c r="L197" s="183">
        <f>'Cay CN dai ngay'!K193</f>
        <v>0</v>
      </c>
      <c r="M197" s="183">
        <f>'Cay CN dai ngay'!L193</f>
        <v>4475.7</v>
      </c>
      <c r="N197" s="183">
        <f>'Cay CN dai ngay'!M193</f>
        <v>385</v>
      </c>
      <c r="O197" s="183">
        <f>'Cay CN dai ngay'!N193</f>
        <v>3978.9</v>
      </c>
      <c r="P197" s="183">
        <f>'Cay CN dai ngay'!O193</f>
        <v>238.4</v>
      </c>
      <c r="Q197" s="159">
        <f t="shared" si="73"/>
        <v>100</v>
      </c>
      <c r="R197" s="327">
        <f t="shared" si="71"/>
        <v>102.95433197656216</v>
      </c>
      <c r="S197" s="121"/>
    </row>
    <row r="198" spans="1:19" ht="15.75">
      <c r="A198" s="25" t="s">
        <v>47</v>
      </c>
      <c r="B198" s="46">
        <v>3007.6</v>
      </c>
      <c r="C198" s="233">
        <v>3645.5</v>
      </c>
      <c r="D198" s="46">
        <f t="shared" si="72"/>
        <v>3645.5</v>
      </c>
      <c r="E198" s="206">
        <f>'Cay CN dai ngay'!D194</f>
        <v>0</v>
      </c>
      <c r="F198" s="206">
        <f>'Cay CN dai ngay'!E194</f>
        <v>0</v>
      </c>
      <c r="G198" s="206">
        <f>'Cay CN dai ngay'!F194</f>
        <v>24</v>
      </c>
      <c r="H198" s="206">
        <f>'Cay CN dai ngay'!G194</f>
        <v>0</v>
      </c>
      <c r="I198" s="206">
        <f>'Cay CN dai ngay'!H194</f>
        <v>0</v>
      </c>
      <c r="J198" s="206">
        <f>'Cay CN dai ngay'!I194</f>
        <v>0</v>
      </c>
      <c r="K198" s="206">
        <f>'Cay CN dai ngay'!J194</f>
        <v>0</v>
      </c>
      <c r="L198" s="206">
        <f>'Cay CN dai ngay'!K194</f>
        <v>0</v>
      </c>
      <c r="M198" s="206">
        <f>'Cay CN dai ngay'!L194</f>
        <v>1151</v>
      </c>
      <c r="N198" s="206">
        <f>'Cay CN dai ngay'!M194</f>
        <v>385</v>
      </c>
      <c r="O198" s="206">
        <f>'Cay CN dai ngay'!N194</f>
        <v>1926.1</v>
      </c>
      <c r="P198" s="206">
        <f>'Cay CN dai ngay'!O194</f>
        <v>159.4</v>
      </c>
      <c r="Q198" s="156">
        <f t="shared" si="73"/>
        <v>100</v>
      </c>
      <c r="R198" s="157">
        <f t="shared" si="71"/>
        <v>121.20960234073681</v>
      </c>
      <c r="S198" s="196"/>
    </row>
    <row r="199" spans="1:19" ht="15.75">
      <c r="A199" s="99" t="s">
        <v>48</v>
      </c>
      <c r="B199" s="96">
        <v>5838</v>
      </c>
      <c r="C199" s="233">
        <v>5561.5</v>
      </c>
      <c r="D199" s="96">
        <f t="shared" si="72"/>
        <v>5561.5</v>
      </c>
      <c r="E199" s="185">
        <f>'Cay CN dai ngay'!D195</f>
        <v>0</v>
      </c>
      <c r="F199" s="185">
        <f>'Cay CN dai ngay'!E195</f>
        <v>0</v>
      </c>
      <c r="G199" s="185">
        <f>'Cay CN dai ngay'!F195</f>
        <v>105</v>
      </c>
      <c r="H199" s="185">
        <f>'Cay CN dai ngay'!G195</f>
        <v>0</v>
      </c>
      <c r="I199" s="185">
        <f>'Cay CN dai ngay'!H195</f>
        <v>0</v>
      </c>
      <c r="J199" s="185">
        <f>'Cay CN dai ngay'!I195</f>
        <v>0</v>
      </c>
      <c r="K199" s="185">
        <f>'Cay CN dai ngay'!J195</f>
        <v>0</v>
      </c>
      <c r="L199" s="185">
        <f>'Cay CN dai ngay'!K195</f>
        <v>0</v>
      </c>
      <c r="M199" s="185">
        <f>'Cay CN dai ngay'!L195</f>
        <v>3324.7</v>
      </c>
      <c r="N199" s="185">
        <f>'Cay CN dai ngay'!M195</f>
        <v>0</v>
      </c>
      <c r="O199" s="185">
        <f>'Cay CN dai ngay'!N195</f>
        <v>2052.8</v>
      </c>
      <c r="P199" s="185">
        <f>'Cay CN dai ngay'!O195</f>
        <v>79</v>
      </c>
      <c r="Q199" s="171">
        <f t="shared" si="73"/>
        <v>100</v>
      </c>
      <c r="R199" s="160">
        <f t="shared" si="71"/>
        <v>95.26378896882494</v>
      </c>
      <c r="S199" s="197"/>
    </row>
    <row r="200" spans="1:19" ht="15.75">
      <c r="A200" s="25" t="s">
        <v>42</v>
      </c>
      <c r="B200" s="46">
        <v>4679.6</v>
      </c>
      <c r="C200" s="233">
        <v>4805.3</v>
      </c>
      <c r="D200" s="46">
        <f t="shared" si="72"/>
        <v>4774.3</v>
      </c>
      <c r="E200" s="206">
        <f>'Cay CN dai ngay'!D196</f>
        <v>0</v>
      </c>
      <c r="F200" s="206">
        <f>'Cay CN dai ngay'!E196</f>
        <v>0</v>
      </c>
      <c r="G200" s="206">
        <f>'Cay CN dai ngay'!F196</f>
        <v>129</v>
      </c>
      <c r="H200" s="206">
        <f>'Cay CN dai ngay'!G196</f>
        <v>0</v>
      </c>
      <c r="I200" s="206">
        <f>'Cay CN dai ngay'!H196</f>
        <v>0</v>
      </c>
      <c r="J200" s="206">
        <f>'Cay CN dai ngay'!I196</f>
        <v>0</v>
      </c>
      <c r="K200" s="206">
        <f>'Cay CN dai ngay'!J196</f>
        <v>0</v>
      </c>
      <c r="L200" s="206">
        <f>'Cay CN dai ngay'!K196</f>
        <v>0</v>
      </c>
      <c r="M200" s="206">
        <f>'Cay CN dai ngay'!L196</f>
        <v>706.3</v>
      </c>
      <c r="N200" s="206">
        <f>'Cay CN dai ngay'!M196</f>
        <v>385</v>
      </c>
      <c r="O200" s="206">
        <f>'Cay CN dai ngay'!N196</f>
        <v>3450</v>
      </c>
      <c r="P200" s="206">
        <f>'Cay CN dai ngay'!O196</f>
        <v>104</v>
      </c>
      <c r="Q200" s="156">
        <f t="shared" si="73"/>
        <v>99.35487898778432</v>
      </c>
      <c r="R200" s="157">
        <f t="shared" si="71"/>
        <v>102.02367723737072</v>
      </c>
      <c r="S200" s="196"/>
    </row>
    <row r="201" spans="1:19" ht="15.75">
      <c r="A201" s="99" t="s">
        <v>49</v>
      </c>
      <c r="B201" s="96">
        <v>20.8</v>
      </c>
      <c r="C201" s="233">
        <v>28</v>
      </c>
      <c r="D201" s="96">
        <f>'Cay CN dai ngay'!C197</f>
        <v>22.324424522966716</v>
      </c>
      <c r="E201" s="185">
        <f>'Cay CN dai ngay'!D197</f>
        <v>0</v>
      </c>
      <c r="F201" s="185">
        <f>'Cay CN dai ngay'!E197</f>
        <v>0</v>
      </c>
      <c r="G201" s="185">
        <f>'Cay CN dai ngay'!F197</f>
        <v>13</v>
      </c>
      <c r="H201" s="185">
        <f>'Cay CN dai ngay'!G197</f>
        <v>0</v>
      </c>
      <c r="I201" s="185">
        <f>'Cay CN dai ngay'!H197</f>
        <v>0</v>
      </c>
      <c r="J201" s="185">
        <f>'Cay CN dai ngay'!I197</f>
        <v>0</v>
      </c>
      <c r="K201" s="185">
        <f>'Cay CN dai ngay'!J197</f>
        <v>0</v>
      </c>
      <c r="L201" s="185">
        <f>'Cay CN dai ngay'!K197</f>
        <v>0</v>
      </c>
      <c r="M201" s="185">
        <f>'Cay CN dai ngay'!L197</f>
        <v>25</v>
      </c>
      <c r="N201" s="185">
        <f>'Cay CN dai ngay'!M197</f>
        <v>61</v>
      </c>
      <c r="O201" s="185">
        <f>'Cay CN dai ngay'!N197</f>
        <v>18</v>
      </c>
      <c r="P201" s="185">
        <f>'Cay CN dai ngay'!O197</f>
        <v>16</v>
      </c>
      <c r="Q201" s="171">
        <f t="shared" si="73"/>
        <v>79.73008758202398</v>
      </c>
      <c r="R201" s="160">
        <f t="shared" si="71"/>
        <v>107.32896405272459</v>
      </c>
      <c r="S201" s="197"/>
    </row>
    <row r="202" spans="1:19" ht="15.75">
      <c r="A202" s="25" t="s">
        <v>50</v>
      </c>
      <c r="B202" s="46">
        <v>7305.4</v>
      </c>
      <c r="C202" s="233">
        <v>13435</v>
      </c>
      <c r="D202" s="46">
        <f>SUM(E202:P202)</f>
        <v>888.1958333333333</v>
      </c>
      <c r="E202" s="206">
        <f>'Cay CN dai ngay'!D198</f>
        <v>0</v>
      </c>
      <c r="F202" s="206">
        <f>'Cay CN dai ngay'!E198</f>
        <v>0</v>
      </c>
      <c r="G202" s="206">
        <f>'Cay CN dai ngay'!F198</f>
        <v>13.975</v>
      </c>
      <c r="H202" s="206">
        <f>'Cay CN dai ngay'!G198</f>
        <v>0</v>
      </c>
      <c r="I202" s="206">
        <f>'Cay CN dai ngay'!H198</f>
        <v>0</v>
      </c>
      <c r="J202" s="206">
        <f>'Cay CN dai ngay'!I198</f>
        <v>0</v>
      </c>
      <c r="K202" s="206">
        <f>'Cay CN dai ngay'!J198</f>
        <v>0</v>
      </c>
      <c r="L202" s="206">
        <f>'Cay CN dai ngay'!K198</f>
        <v>0</v>
      </c>
      <c r="M202" s="206">
        <f>'Cay CN dai ngay'!L198</f>
        <v>147.14583333333334</v>
      </c>
      <c r="N202" s="206">
        <f>'Cay CN dai ngay'!M198</f>
        <v>195.70833333333334</v>
      </c>
      <c r="O202" s="206">
        <f>'Cay CN dai ngay'!N198</f>
        <v>517.5</v>
      </c>
      <c r="P202" s="206">
        <f>'Cay CN dai ngay'!O198</f>
        <v>13.866666666666667</v>
      </c>
      <c r="Q202" s="156">
        <f t="shared" si="73"/>
        <v>6.611059421907951</v>
      </c>
      <c r="R202" s="157">
        <f t="shared" si="71"/>
        <v>12.158072567324627</v>
      </c>
      <c r="S202" s="196"/>
    </row>
    <row r="203" spans="1:19" ht="15.75">
      <c r="A203" s="99" t="s">
        <v>45</v>
      </c>
      <c r="B203" s="96">
        <v>127</v>
      </c>
      <c r="C203" s="233"/>
      <c r="D203" s="96">
        <f>SUM(E203:P203)</f>
        <v>0</v>
      </c>
      <c r="E203" s="185">
        <f>'Cay CN dai ngay'!D199</f>
        <v>0</v>
      </c>
      <c r="F203" s="185">
        <f>'Cay CN dai ngay'!E199</f>
        <v>0</v>
      </c>
      <c r="G203" s="185">
        <f>'Cay CN dai ngay'!F199</f>
        <v>0</v>
      </c>
      <c r="H203" s="185">
        <f>'Cay CN dai ngay'!G199</f>
        <v>0</v>
      </c>
      <c r="I203" s="185">
        <f>'Cay CN dai ngay'!H199</f>
        <v>0</v>
      </c>
      <c r="J203" s="185">
        <f>'Cay CN dai ngay'!I199</f>
        <v>0</v>
      </c>
      <c r="K203" s="185">
        <f>'Cay CN dai ngay'!J199</f>
        <v>0</v>
      </c>
      <c r="L203" s="185">
        <f>'Cay CN dai ngay'!K199</f>
        <v>0</v>
      </c>
      <c r="M203" s="185">
        <f>'Cay CN dai ngay'!L199</f>
        <v>0</v>
      </c>
      <c r="N203" s="185">
        <f>'Cay CN dai ngay'!M199</f>
        <v>0</v>
      </c>
      <c r="O203" s="185">
        <f>'Cay CN dai ngay'!N199</f>
        <v>0</v>
      </c>
      <c r="P203" s="185">
        <f>'Cay CN dai ngay'!O199</f>
        <v>0</v>
      </c>
      <c r="Q203" s="171" t="e">
        <f t="shared" si="73"/>
        <v>#DIV/0!</v>
      </c>
      <c r="R203" s="160">
        <f t="shared" si="71"/>
        <v>0</v>
      </c>
      <c r="S203" s="197"/>
    </row>
    <row r="204" spans="1:19" ht="15.75">
      <c r="A204" s="21" t="s">
        <v>51</v>
      </c>
      <c r="B204" s="23">
        <v>5789.2</v>
      </c>
      <c r="C204" s="374">
        <v>8571.4</v>
      </c>
      <c r="D204" s="23">
        <f>SUM(E204:P204)</f>
        <v>7777.799999999999</v>
      </c>
      <c r="E204" s="128">
        <f>'Cay CN dai ngay'!D200</f>
        <v>63</v>
      </c>
      <c r="F204" s="128">
        <f>'Cay CN dai ngay'!E200</f>
        <v>67.5</v>
      </c>
      <c r="G204" s="128">
        <f>'Cay CN dai ngay'!F200</f>
        <v>1177</v>
      </c>
      <c r="H204" s="128">
        <f>'Cay CN dai ngay'!G200</f>
        <v>489</v>
      </c>
      <c r="I204" s="128">
        <f>'Cay CN dai ngay'!H200</f>
        <v>2591.1</v>
      </c>
      <c r="J204" s="128">
        <f>'Cay CN dai ngay'!I200</f>
        <v>63.9</v>
      </c>
      <c r="K204" s="128">
        <f>'Cay CN dai ngay'!J200</f>
        <v>419.9</v>
      </c>
      <c r="L204" s="128">
        <f>'Cay CN dai ngay'!K200</f>
        <v>1899.8</v>
      </c>
      <c r="M204" s="128">
        <f>'Cay CN dai ngay'!L200</f>
        <v>990</v>
      </c>
      <c r="N204" s="128">
        <f>'Cay CN dai ngay'!M200</f>
        <v>5.4</v>
      </c>
      <c r="O204" s="128">
        <f>'Cay CN dai ngay'!N200</f>
        <v>10.2</v>
      </c>
      <c r="P204" s="128">
        <f>'Cay CN dai ngay'!O200</f>
        <v>1</v>
      </c>
      <c r="Q204" s="159">
        <f t="shared" si="73"/>
        <v>90.74130247100824</v>
      </c>
      <c r="R204" s="327">
        <f t="shared" si="71"/>
        <v>134.35016928072963</v>
      </c>
      <c r="S204" s="197"/>
    </row>
    <row r="205" spans="1:19" ht="15.75">
      <c r="A205" s="25" t="s">
        <v>42</v>
      </c>
      <c r="B205" s="46">
        <v>1638.9</v>
      </c>
      <c r="C205" s="233">
        <v>2281.4</v>
      </c>
      <c r="D205" s="46">
        <f>SUM(E205:P205)</f>
        <v>2145</v>
      </c>
      <c r="E205" s="162">
        <f>'Cay CN dai ngay'!D205</f>
        <v>48</v>
      </c>
      <c r="F205" s="162">
        <f>'Cay CN dai ngay'!E205</f>
        <v>37.8</v>
      </c>
      <c r="G205" s="162">
        <f>'Cay CN dai ngay'!F205</f>
        <v>487</v>
      </c>
      <c r="H205" s="162">
        <f>'Cay CN dai ngay'!G205</f>
        <v>7</v>
      </c>
      <c r="I205" s="162">
        <f>'Cay CN dai ngay'!H205</f>
        <v>400</v>
      </c>
      <c r="J205" s="162">
        <f>'Cay CN dai ngay'!I205</f>
        <v>59</v>
      </c>
      <c r="K205" s="162">
        <f>'Cay CN dai ngay'!J205</f>
        <v>268</v>
      </c>
      <c r="L205" s="162">
        <f>'Cay CN dai ngay'!K205</f>
        <v>400</v>
      </c>
      <c r="M205" s="162">
        <f>'Cay CN dai ngay'!L205</f>
        <v>428</v>
      </c>
      <c r="N205" s="162">
        <f>'Cay CN dai ngay'!M205</f>
        <v>0</v>
      </c>
      <c r="O205" s="162">
        <f>'Cay CN dai ngay'!N205</f>
        <v>10.2</v>
      </c>
      <c r="P205" s="162">
        <f>'Cay CN dai ngay'!O205</f>
        <v>0</v>
      </c>
      <c r="Q205" s="156">
        <f t="shared" si="73"/>
        <v>94.0212150433944</v>
      </c>
      <c r="R205" s="157">
        <f t="shared" si="71"/>
        <v>130.8804686069925</v>
      </c>
      <c r="S205" s="196"/>
    </row>
    <row r="206" spans="1:19" ht="15.75">
      <c r="A206" s="99" t="s">
        <v>49</v>
      </c>
      <c r="B206" s="96">
        <v>13.4</v>
      </c>
      <c r="C206" s="233">
        <v>26.9</v>
      </c>
      <c r="D206" s="96">
        <f>'Cay CN dai ngay'!C206</f>
        <v>26.01958041958042</v>
      </c>
      <c r="E206" s="170">
        <f>'Cay CN dai ngay'!D206</f>
        <v>12</v>
      </c>
      <c r="F206" s="170">
        <f>'Cay CN dai ngay'!E206</f>
        <v>22</v>
      </c>
      <c r="G206" s="170">
        <f>'Cay CN dai ngay'!F206</f>
        <v>15</v>
      </c>
      <c r="H206" s="170">
        <f>'Cay CN dai ngay'!G206</f>
        <v>12</v>
      </c>
      <c r="I206" s="170">
        <f>'Cay CN dai ngay'!H206</f>
        <v>23</v>
      </c>
      <c r="J206" s="170">
        <f>'Cay CN dai ngay'!I206</f>
        <v>38.1</v>
      </c>
      <c r="K206" s="170">
        <f>'Cay CN dai ngay'!J206</f>
        <v>55</v>
      </c>
      <c r="L206" s="170">
        <f>'Cay CN dai ngay'!K206</f>
        <v>25</v>
      </c>
      <c r="M206" s="170">
        <f>'Cay CN dai ngay'!L206</f>
        <v>25</v>
      </c>
      <c r="N206" s="170">
        <f>'Cay CN dai ngay'!M206</f>
        <v>0</v>
      </c>
      <c r="O206" s="170">
        <f>'Cay CN dai ngay'!N206</f>
        <v>12.5</v>
      </c>
      <c r="P206" s="170">
        <f>'Cay CN dai ngay'!O206</f>
        <v>0</v>
      </c>
      <c r="Q206" s="171">
        <f t="shared" si="73"/>
        <v>96.72706475680455</v>
      </c>
      <c r="R206" s="160">
        <f t="shared" si="71"/>
        <v>194.1759732804509</v>
      </c>
      <c r="S206" s="197"/>
    </row>
    <row r="207" spans="1:19" ht="15.75">
      <c r="A207" s="25" t="s">
        <v>50</v>
      </c>
      <c r="B207" s="46">
        <v>1652.7</v>
      </c>
      <c r="C207" s="233">
        <v>6144.4</v>
      </c>
      <c r="D207" s="46">
        <f>SUM(E207:P207)</f>
        <v>465.1</v>
      </c>
      <c r="E207" s="162">
        <f>'Cay CN dai ngay'!D207</f>
        <v>4.8</v>
      </c>
      <c r="F207" s="162">
        <f>'Cay CN dai ngay'!E207</f>
        <v>6.93</v>
      </c>
      <c r="G207" s="162">
        <f>'Cay CN dai ngay'!F207</f>
        <v>60.875</v>
      </c>
      <c r="H207" s="162">
        <f>'Cay CN dai ngay'!G207</f>
        <v>0.7000000000000001</v>
      </c>
      <c r="I207" s="162">
        <f>'Cay CN dai ngay'!H207</f>
        <v>76.66666666666667</v>
      </c>
      <c r="J207" s="162">
        <f>'Cay CN dai ngay'!I207</f>
        <v>18.7325</v>
      </c>
      <c r="K207" s="162">
        <f>'Cay CN dai ngay'!J207</f>
        <v>122.83333333333333</v>
      </c>
      <c r="L207" s="162">
        <f>'Cay CN dai ngay'!K207</f>
        <v>83.33333333333333</v>
      </c>
      <c r="M207" s="162">
        <f>'Cay CN dai ngay'!L207</f>
        <v>89.16666666666667</v>
      </c>
      <c r="N207" s="162">
        <f>'Cay CN dai ngay'!M207</f>
        <v>0</v>
      </c>
      <c r="O207" s="162">
        <f>'Cay CN dai ngay'!N207</f>
        <v>1.0624999999999998</v>
      </c>
      <c r="P207" s="162">
        <f>'Cay CN dai ngay'!O207</f>
        <v>0</v>
      </c>
      <c r="Q207" s="156">
        <f t="shared" si="73"/>
        <v>7.56949417355641</v>
      </c>
      <c r="R207" s="157">
        <f t="shared" si="71"/>
        <v>28.141828523022934</v>
      </c>
      <c r="S207" s="196"/>
    </row>
    <row r="208" spans="1:19" ht="15.75">
      <c r="A208" s="99" t="s">
        <v>45</v>
      </c>
      <c r="B208" s="96">
        <v>739.1</v>
      </c>
      <c r="C208" s="233">
        <v>793.6</v>
      </c>
      <c r="D208" s="96">
        <f>SUM(E208:P208)</f>
        <v>316</v>
      </c>
      <c r="E208" s="170">
        <f>'Cay CN dai ngay'!D208</f>
        <v>0</v>
      </c>
      <c r="F208" s="170">
        <f>'Cay CN dai ngay'!E208</f>
        <v>0</v>
      </c>
      <c r="G208" s="170">
        <f>'Cay CN dai ngay'!F208</f>
        <v>0</v>
      </c>
      <c r="H208" s="170">
        <f>'Cay CN dai ngay'!G208</f>
        <v>316</v>
      </c>
      <c r="I208" s="170">
        <f>'Cay CN dai ngay'!H208</f>
        <v>0</v>
      </c>
      <c r="J208" s="170">
        <f>'Cay CN dai ngay'!I208</f>
        <v>0</v>
      </c>
      <c r="K208" s="170">
        <f>'Cay CN dai ngay'!J208</f>
        <v>0</v>
      </c>
      <c r="L208" s="170">
        <f>'Cay CN dai ngay'!K208</f>
        <v>0</v>
      </c>
      <c r="M208" s="170">
        <f>'Cay CN dai ngay'!L208</f>
        <v>0</v>
      </c>
      <c r="N208" s="170">
        <f>'Cay CN dai ngay'!M208</f>
        <v>0</v>
      </c>
      <c r="O208" s="170">
        <f>'Cay CN dai ngay'!N208</f>
        <v>0</v>
      </c>
      <c r="P208" s="170">
        <f>'Cay CN dai ngay'!O208</f>
        <v>0</v>
      </c>
      <c r="Q208" s="171">
        <f t="shared" si="73"/>
        <v>39.818548387096776</v>
      </c>
      <c r="R208" s="160">
        <f t="shared" si="71"/>
        <v>42.75470166418617</v>
      </c>
      <c r="S208" s="197"/>
    </row>
    <row r="209" spans="1:19" ht="15.75">
      <c r="A209" s="158" t="s">
        <v>64</v>
      </c>
      <c r="B209" s="23">
        <v>854</v>
      </c>
      <c r="C209" s="374">
        <v>790.5</v>
      </c>
      <c r="D209" s="23">
        <f>SUM(E209:P209)</f>
        <v>773.5</v>
      </c>
      <c r="E209" s="182">
        <f>'Cay CN dai ngay'!D209</f>
        <v>0</v>
      </c>
      <c r="F209" s="182">
        <f>'Cay CN dai ngay'!E209</f>
        <v>19</v>
      </c>
      <c r="G209" s="182">
        <f>'Cay CN dai ngay'!F209</f>
        <v>36</v>
      </c>
      <c r="H209" s="182">
        <f>'Cay CN dai ngay'!G209</f>
        <v>20</v>
      </c>
      <c r="I209" s="182">
        <f>'Cay CN dai ngay'!H209</f>
        <v>229</v>
      </c>
      <c r="J209" s="182">
        <f>'Cay CN dai ngay'!I209</f>
        <v>27</v>
      </c>
      <c r="K209" s="182">
        <f>'Cay CN dai ngay'!J209</f>
        <v>250</v>
      </c>
      <c r="L209" s="182">
        <f>'Cay CN dai ngay'!K209</f>
        <v>97.5</v>
      </c>
      <c r="M209" s="182">
        <f>'Cay CN dai ngay'!L209</f>
        <v>95</v>
      </c>
      <c r="N209" s="182">
        <f>'Cay CN dai ngay'!M209</f>
        <v>0</v>
      </c>
      <c r="O209" s="182">
        <f>'Cay CN dai ngay'!N209</f>
        <v>0</v>
      </c>
      <c r="P209" s="182">
        <f>'Cay CN dai ngay'!O209</f>
        <v>0</v>
      </c>
      <c r="Q209" s="159">
        <f t="shared" si="73"/>
        <v>97.84946236559139</v>
      </c>
      <c r="R209" s="327">
        <f t="shared" si="71"/>
        <v>90.57377049180327</v>
      </c>
      <c r="S209" s="197"/>
    </row>
    <row r="210" spans="1:19" ht="15.75">
      <c r="A210" s="25" t="s">
        <v>42</v>
      </c>
      <c r="B210" s="46">
        <v>830.4</v>
      </c>
      <c r="C210" s="233">
        <v>763.5</v>
      </c>
      <c r="D210" s="46">
        <f>SUM(E210:P210)</f>
        <v>704</v>
      </c>
      <c r="E210" s="206">
        <f>'Cay CN dai ngay'!D210</f>
        <v>0</v>
      </c>
      <c r="F210" s="206">
        <f>'Cay CN dai ngay'!E210</f>
        <v>15</v>
      </c>
      <c r="G210" s="206">
        <f>'Cay CN dai ngay'!F210</f>
        <v>31</v>
      </c>
      <c r="H210" s="206">
        <f>'Cay CN dai ngay'!G210</f>
        <v>20</v>
      </c>
      <c r="I210" s="206">
        <f>'Cay CN dai ngay'!H210</f>
        <v>229</v>
      </c>
      <c r="J210" s="206">
        <f>'Cay CN dai ngay'!I210</f>
        <v>27</v>
      </c>
      <c r="K210" s="206">
        <f>'Cay CN dai ngay'!J210</f>
        <v>200</v>
      </c>
      <c r="L210" s="206">
        <f>'Cay CN dai ngay'!K210</f>
        <v>97</v>
      </c>
      <c r="M210" s="206">
        <f>'Cay CN dai ngay'!L210</f>
        <v>85</v>
      </c>
      <c r="N210" s="206">
        <f>'Cay CN dai ngay'!M210</f>
        <v>0</v>
      </c>
      <c r="O210" s="206">
        <f>'Cay CN dai ngay'!N210</f>
        <v>0</v>
      </c>
      <c r="P210" s="206">
        <f>'Cay CN dai ngay'!O210</f>
        <v>0</v>
      </c>
      <c r="Q210" s="156">
        <f t="shared" si="73"/>
        <v>92.20694171578258</v>
      </c>
      <c r="R210" s="157">
        <f t="shared" si="71"/>
        <v>84.77842003853566</v>
      </c>
      <c r="S210" s="196"/>
    </row>
    <row r="211" spans="1:19" ht="15.75">
      <c r="A211" s="99" t="s">
        <v>49</v>
      </c>
      <c r="B211" s="96">
        <v>397.2</v>
      </c>
      <c r="C211" s="233">
        <v>431.7</v>
      </c>
      <c r="D211" s="96">
        <f>'Cay CN dai ngay'!C211</f>
        <v>395.98579545454555</v>
      </c>
      <c r="E211" s="185">
        <f>'Cay CN dai ngay'!D211</f>
        <v>0</v>
      </c>
      <c r="F211" s="185">
        <f>'Cay CN dai ngay'!E211</f>
        <v>325</v>
      </c>
      <c r="G211" s="185">
        <f>'Cay CN dai ngay'!F211</f>
        <v>325</v>
      </c>
      <c r="H211" s="185">
        <f>'Cay CN dai ngay'!G211</f>
        <v>180</v>
      </c>
      <c r="I211" s="185">
        <f>'Cay CN dai ngay'!H211</f>
        <v>400</v>
      </c>
      <c r="J211" s="185">
        <f>'Cay CN dai ngay'!I211</f>
        <v>452</v>
      </c>
      <c r="K211" s="185">
        <f>'Cay CN dai ngay'!J211</f>
        <v>500</v>
      </c>
      <c r="L211" s="185">
        <f>'Cay CN dai ngay'!K211</f>
        <v>310</v>
      </c>
      <c r="M211" s="185">
        <f>'Cay CN dai ngay'!L211</f>
        <v>310</v>
      </c>
      <c r="N211" s="185">
        <f>'Cay CN dai ngay'!M211</f>
        <v>0</v>
      </c>
      <c r="O211" s="185">
        <f>'Cay CN dai ngay'!N211</f>
        <v>0</v>
      </c>
      <c r="P211" s="185">
        <f>'Cay CN dai ngay'!O211</f>
        <v>0</v>
      </c>
      <c r="Q211" s="171">
        <f t="shared" si="73"/>
        <v>91.72707793711966</v>
      </c>
      <c r="R211" s="160">
        <f t="shared" si="71"/>
        <v>99.69430902682416</v>
      </c>
      <c r="S211" s="197"/>
    </row>
    <row r="212" spans="1:19" ht="15.75">
      <c r="A212" s="25" t="s">
        <v>50</v>
      </c>
      <c r="B212" s="46">
        <v>24737.3</v>
      </c>
      <c r="C212" s="233">
        <v>32960.5</v>
      </c>
      <c r="D212" s="46">
        <f>SUM(E212:P212)</f>
        <v>2323.1166666666672</v>
      </c>
      <c r="E212" s="206">
        <f>'Cay CN dai ngay'!D212</f>
        <v>0</v>
      </c>
      <c r="F212" s="206">
        <f>'Cay CN dai ngay'!E212</f>
        <v>40.625</v>
      </c>
      <c r="G212" s="206">
        <f>'Cay CN dai ngay'!F212</f>
        <v>83.95833333333333</v>
      </c>
      <c r="H212" s="206">
        <f>'Cay CN dai ngay'!G212</f>
        <v>30</v>
      </c>
      <c r="I212" s="206">
        <f>'Cay CN dai ngay'!H212</f>
        <v>763.3333333333334</v>
      </c>
      <c r="J212" s="206">
        <f>'Cay CN dai ngay'!I212</f>
        <v>101.7</v>
      </c>
      <c r="K212" s="206">
        <f>'Cay CN dai ngay'!J212</f>
        <v>833.3333333333334</v>
      </c>
      <c r="L212" s="206">
        <f>'Cay CN dai ngay'!K212</f>
        <v>250.58333333333334</v>
      </c>
      <c r="M212" s="206">
        <f>'Cay CN dai ngay'!L212</f>
        <v>219.58333333333334</v>
      </c>
      <c r="N212" s="206">
        <f>'Cay CN dai ngay'!M212</f>
        <v>0</v>
      </c>
      <c r="O212" s="206">
        <f>'Cay CN dai ngay'!N212</f>
        <v>0</v>
      </c>
      <c r="P212" s="206">
        <f>'Cay CN dai ngay'!O212</f>
        <v>0</v>
      </c>
      <c r="Q212" s="156">
        <f t="shared" si="73"/>
        <v>7.04818393733914</v>
      </c>
      <c r="R212" s="157">
        <f t="shared" si="71"/>
        <v>9.391148858875734</v>
      </c>
      <c r="S212" s="196"/>
    </row>
    <row r="213" spans="1:19" ht="15.75">
      <c r="A213" s="186" t="s">
        <v>45</v>
      </c>
      <c r="B213" s="187">
        <v>429.5</v>
      </c>
      <c r="C213" s="393">
        <v>27</v>
      </c>
      <c r="D213" s="187">
        <f>SUM(E213:P213)</f>
        <v>0</v>
      </c>
      <c r="E213" s="187">
        <f>'Cay CN dai ngay'!D213</f>
        <v>0</v>
      </c>
      <c r="F213" s="187">
        <f>'Cay CN dai ngay'!E213</f>
        <v>0</v>
      </c>
      <c r="G213" s="187">
        <f>'Cay CN dai ngay'!F213</f>
        <v>0</v>
      </c>
      <c r="H213" s="187">
        <f>'Cay CN dai ngay'!G213</f>
        <v>0</v>
      </c>
      <c r="I213" s="187">
        <f>'Cay CN dai ngay'!H213</f>
        <v>0</v>
      </c>
      <c r="J213" s="187">
        <f>'Cay CN dai ngay'!I213</f>
        <v>0</v>
      </c>
      <c r="K213" s="187">
        <f>'Cay CN dai ngay'!J213</f>
        <v>0</v>
      </c>
      <c r="L213" s="187">
        <f>'Cay CN dai ngay'!K213</f>
        <v>0</v>
      </c>
      <c r="M213" s="187">
        <f>'Cay CN dai ngay'!L213</f>
        <v>0</v>
      </c>
      <c r="N213" s="187">
        <f>'Cay CN dai ngay'!M213</f>
        <v>0</v>
      </c>
      <c r="O213" s="187">
        <f>'Cay CN dai ngay'!N213</f>
        <v>0</v>
      </c>
      <c r="P213" s="187">
        <f>'Cay CN dai ngay'!O213</f>
        <v>0</v>
      </c>
      <c r="Q213" s="188">
        <f t="shared" si="73"/>
        <v>0</v>
      </c>
      <c r="R213" s="189">
        <f t="shared" si="71"/>
        <v>0</v>
      </c>
      <c r="S213" s="197"/>
    </row>
    <row r="214" spans="1:17" ht="15.75" hidden="1">
      <c r="A214" s="118" t="s">
        <v>213</v>
      </c>
      <c r="B214" s="118"/>
      <c r="C214" s="118"/>
      <c r="D214" s="120">
        <f aca="true" t="shared" si="74" ref="D214:P214">D213+D208+D203+D196+D194+D189+D183+D178+D173+D171+D164+D154</f>
        <v>2527.1000000000004</v>
      </c>
      <c r="E214" s="120">
        <f t="shared" si="74"/>
        <v>1</v>
      </c>
      <c r="F214" s="120">
        <f t="shared" si="74"/>
        <v>45</v>
      </c>
      <c r="G214" s="120">
        <f t="shared" si="74"/>
        <v>221</v>
      </c>
      <c r="H214" s="120">
        <f t="shared" si="74"/>
        <v>371</v>
      </c>
      <c r="I214" s="120">
        <f t="shared" si="74"/>
        <v>260</v>
      </c>
      <c r="J214" s="120">
        <f t="shared" si="74"/>
        <v>7</v>
      </c>
      <c r="K214" s="120">
        <f t="shared" si="74"/>
        <v>145</v>
      </c>
      <c r="L214" s="120">
        <f t="shared" si="74"/>
        <v>580.9</v>
      </c>
      <c r="M214" s="120">
        <f t="shared" si="74"/>
        <v>250</v>
      </c>
      <c r="N214" s="120">
        <f t="shared" si="74"/>
        <v>453.9</v>
      </c>
      <c r="O214" s="120">
        <f t="shared" si="74"/>
        <v>95</v>
      </c>
      <c r="P214" s="120">
        <f t="shared" si="74"/>
        <v>97.3</v>
      </c>
      <c r="Q214" s="113"/>
    </row>
    <row r="215" spans="1:16" ht="15.75" hidden="1">
      <c r="A215" s="115" t="s">
        <v>209</v>
      </c>
      <c r="B215" s="116"/>
      <c r="C215" s="116"/>
      <c r="D215" s="117">
        <f>SUM(E215:P215)</f>
        <v>0</v>
      </c>
      <c r="E215" s="117">
        <f aca="true" t="shared" si="75" ref="E215:P215">E154</f>
        <v>0</v>
      </c>
      <c r="F215" s="117">
        <f t="shared" si="75"/>
        <v>0</v>
      </c>
      <c r="G215" s="117">
        <f t="shared" si="75"/>
        <v>0</v>
      </c>
      <c r="H215" s="117">
        <f t="shared" si="75"/>
        <v>0</v>
      </c>
      <c r="I215" s="117">
        <f t="shared" si="75"/>
        <v>0</v>
      </c>
      <c r="J215" s="117">
        <f t="shared" si="75"/>
        <v>0</v>
      </c>
      <c r="K215" s="117">
        <f t="shared" si="75"/>
        <v>0</v>
      </c>
      <c r="L215" s="117">
        <f t="shared" si="75"/>
        <v>0</v>
      </c>
      <c r="M215" s="117">
        <f t="shared" si="75"/>
        <v>0</v>
      </c>
      <c r="N215" s="117">
        <f t="shared" si="75"/>
        <v>0</v>
      </c>
      <c r="O215" s="117">
        <f t="shared" si="75"/>
        <v>0</v>
      </c>
      <c r="P215" s="117">
        <f t="shared" si="75"/>
        <v>0</v>
      </c>
    </row>
    <row r="216" spans="1:16" ht="15.75" hidden="1">
      <c r="A216" s="115" t="s">
        <v>211</v>
      </c>
      <c r="B216" s="116"/>
      <c r="C216" s="116"/>
      <c r="D216" s="117">
        <f>SUM(E216:P216)</f>
        <v>0</v>
      </c>
      <c r="E216" s="117">
        <f aca="true" t="shared" si="76" ref="E216:P216">E155</f>
        <v>0</v>
      </c>
      <c r="F216" s="117">
        <f t="shared" si="76"/>
        <v>0</v>
      </c>
      <c r="G216" s="117">
        <f t="shared" si="76"/>
        <v>0</v>
      </c>
      <c r="H216" s="117">
        <f t="shared" si="76"/>
        <v>0</v>
      </c>
      <c r="I216" s="117">
        <f t="shared" si="76"/>
        <v>0</v>
      </c>
      <c r="J216" s="117">
        <f t="shared" si="76"/>
        <v>0</v>
      </c>
      <c r="K216" s="117">
        <f t="shared" si="76"/>
        <v>0</v>
      </c>
      <c r="L216" s="117">
        <f t="shared" si="76"/>
        <v>0</v>
      </c>
      <c r="M216" s="117">
        <f t="shared" si="76"/>
        <v>0</v>
      </c>
      <c r="N216" s="117">
        <f t="shared" si="76"/>
        <v>0</v>
      </c>
      <c r="O216" s="117">
        <f t="shared" si="76"/>
        <v>0</v>
      </c>
      <c r="P216" s="117">
        <f t="shared" si="76"/>
        <v>0</v>
      </c>
    </row>
    <row r="217" spans="1:16" ht="15.75" hidden="1">
      <c r="A217" s="115" t="s">
        <v>210</v>
      </c>
      <c r="B217" s="116"/>
      <c r="C217" s="116"/>
      <c r="D217" s="117">
        <f>SUM(E217:P217)</f>
        <v>0</v>
      </c>
      <c r="E217" s="117">
        <f aca="true" t="shared" si="77" ref="E217:P217">E158</f>
        <v>0</v>
      </c>
      <c r="F217" s="117">
        <f t="shared" si="77"/>
        <v>0</v>
      </c>
      <c r="G217" s="117">
        <f t="shared" si="77"/>
        <v>0</v>
      </c>
      <c r="H217" s="117">
        <f t="shared" si="77"/>
        <v>0</v>
      </c>
      <c r="I217" s="117">
        <f t="shared" si="77"/>
        <v>0</v>
      </c>
      <c r="J217" s="117">
        <f t="shared" si="77"/>
        <v>0</v>
      </c>
      <c r="K217" s="117">
        <f t="shared" si="77"/>
        <v>0</v>
      </c>
      <c r="L217" s="117">
        <f t="shared" si="77"/>
        <v>0</v>
      </c>
      <c r="M217" s="117">
        <f t="shared" si="77"/>
        <v>0</v>
      </c>
      <c r="N217" s="117">
        <f t="shared" si="77"/>
        <v>0</v>
      </c>
      <c r="O217" s="117">
        <f t="shared" si="77"/>
        <v>0</v>
      </c>
      <c r="P217" s="117">
        <f t="shared" si="77"/>
        <v>0</v>
      </c>
    </row>
    <row r="218" spans="1:16" ht="15.75" hidden="1">
      <c r="A218" s="115" t="s">
        <v>212</v>
      </c>
      <c r="B218" s="116"/>
      <c r="C218" s="116"/>
      <c r="D218" s="117">
        <f>SUM(E218:P218)</f>
        <v>0</v>
      </c>
      <c r="E218" s="117">
        <f aca="true" t="shared" si="78" ref="E218:P218">E159</f>
        <v>0</v>
      </c>
      <c r="F218" s="117">
        <f t="shared" si="78"/>
        <v>0</v>
      </c>
      <c r="G218" s="117">
        <f t="shared" si="78"/>
        <v>0</v>
      </c>
      <c r="H218" s="117">
        <f t="shared" si="78"/>
        <v>0</v>
      </c>
      <c r="I218" s="117">
        <f t="shared" si="78"/>
        <v>0</v>
      </c>
      <c r="J218" s="117">
        <f t="shared" si="78"/>
        <v>0</v>
      </c>
      <c r="K218" s="117">
        <f t="shared" si="78"/>
        <v>0</v>
      </c>
      <c r="L218" s="117">
        <f t="shared" si="78"/>
        <v>0</v>
      </c>
      <c r="M218" s="117">
        <f t="shared" si="78"/>
        <v>0</v>
      </c>
      <c r="N218" s="117">
        <f t="shared" si="78"/>
        <v>0</v>
      </c>
      <c r="O218" s="117">
        <f t="shared" si="78"/>
        <v>0</v>
      </c>
      <c r="P218" s="117">
        <f t="shared" si="78"/>
        <v>0</v>
      </c>
    </row>
    <row r="219" spans="1:17" ht="15.75" hidden="1">
      <c r="A219" s="113" t="s">
        <v>45</v>
      </c>
      <c r="B219" s="113"/>
      <c r="C219" s="113"/>
      <c r="D219" s="114">
        <f>SUM(E219:P219)</f>
        <v>2527.1000000000004</v>
      </c>
      <c r="E219" s="114">
        <f>E214-E215</f>
        <v>1</v>
      </c>
      <c r="F219" s="114">
        <f aca="true" t="shared" si="79" ref="F219:P219">F214-F215</f>
        <v>45</v>
      </c>
      <c r="G219" s="114">
        <f t="shared" si="79"/>
        <v>221</v>
      </c>
      <c r="H219" s="114">
        <f t="shared" si="79"/>
        <v>371</v>
      </c>
      <c r="I219" s="114">
        <f t="shared" si="79"/>
        <v>260</v>
      </c>
      <c r="J219" s="114">
        <f t="shared" si="79"/>
        <v>7</v>
      </c>
      <c r="K219" s="114">
        <f t="shared" si="79"/>
        <v>145</v>
      </c>
      <c r="L219" s="114">
        <f t="shared" si="79"/>
        <v>580.9</v>
      </c>
      <c r="M219" s="114">
        <f t="shared" si="79"/>
        <v>250</v>
      </c>
      <c r="N219" s="114">
        <f t="shared" si="79"/>
        <v>453.9</v>
      </c>
      <c r="O219" s="114">
        <f t="shared" si="79"/>
        <v>95</v>
      </c>
      <c r="P219" s="114">
        <f t="shared" si="79"/>
        <v>97.3</v>
      </c>
      <c r="Q219" s="113"/>
    </row>
    <row r="220" spans="1:4" ht="15.75" hidden="1">
      <c r="A220" s="115" t="s">
        <v>214</v>
      </c>
      <c r="B220" s="116"/>
      <c r="C220" s="117"/>
      <c r="D220" s="125">
        <f>D173</f>
        <v>0</v>
      </c>
    </row>
    <row r="221" spans="1:4" ht="15.75" hidden="1">
      <c r="A221" s="115" t="s">
        <v>223</v>
      </c>
      <c r="B221"/>
      <c r="C221" s="121"/>
      <c r="D221" s="125">
        <f>D214-D215-D220</f>
        <v>2527.1000000000004</v>
      </c>
    </row>
    <row r="222" ht="15.75" hidden="1"/>
  </sheetData>
  <sheetProtection/>
  <mergeCells count="2">
    <mergeCell ref="A1:R1"/>
    <mergeCell ref="A2:R2"/>
  </mergeCells>
  <printOptions horizontalCentered="1"/>
  <pageMargins left="0.35433070866141736" right="0.15748031496062992" top="0.7480314960629921" bottom="0.5118110236220472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1">
      <pane xSplit="3" ySplit="3" topLeftCell="P3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40" sqref="C40"/>
    </sheetView>
  </sheetViews>
  <sheetFormatPr defaultColWidth="9.00390625" defaultRowHeight="15.75"/>
  <cols>
    <col min="1" max="1" width="20.375" style="61" customWidth="1"/>
    <col min="2" max="2" width="9.50390625" style="61" customWidth="1"/>
    <col min="3" max="3" width="9.00390625" style="61" customWidth="1"/>
    <col min="4" max="4" width="7.875" style="61" customWidth="1"/>
    <col min="5" max="5" width="5.875" style="61" customWidth="1"/>
    <col min="6" max="7" width="7.625" style="61" customWidth="1"/>
    <col min="8" max="8" width="7.375" style="61" customWidth="1"/>
    <col min="9" max="9" width="7.00390625" style="61" customWidth="1"/>
    <col min="10" max="10" width="6.875" style="61" customWidth="1"/>
    <col min="11" max="11" width="7.00390625" style="61" customWidth="1"/>
    <col min="12" max="12" width="6.375" style="61" customWidth="1"/>
    <col min="13" max="13" width="7.375" style="61" customWidth="1"/>
    <col min="14" max="14" width="7.00390625" style="61" customWidth="1"/>
    <col min="15" max="15" width="6.00390625" style="61" customWidth="1"/>
    <col min="16" max="16" width="6.875" style="61" customWidth="1"/>
    <col min="17" max="16384" width="9.00390625" style="61" customWidth="1"/>
  </cols>
  <sheetData>
    <row r="1" spans="1:16" ht="15.75">
      <c r="A1" s="418" t="s">
        <v>311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</row>
    <row r="2" spans="1:16" ht="15.75">
      <c r="A2" s="1"/>
      <c r="B2" s="1"/>
      <c r="C2" s="1"/>
      <c r="D2" s="419" t="s">
        <v>65</v>
      </c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1"/>
      <c r="P2" s="62"/>
    </row>
    <row r="3" spans="1:16" ht="30" customHeight="1">
      <c r="A3" s="63" t="s">
        <v>66</v>
      </c>
      <c r="B3" s="64" t="s">
        <v>312</v>
      </c>
      <c r="C3" s="65" t="s">
        <v>313</v>
      </c>
      <c r="D3" s="5" t="s">
        <v>1</v>
      </c>
      <c r="E3" s="37" t="s">
        <v>112</v>
      </c>
      <c r="F3" s="37" t="s">
        <v>113</v>
      </c>
      <c r="G3" s="37" t="s">
        <v>109</v>
      </c>
      <c r="H3" s="37" t="s">
        <v>114</v>
      </c>
      <c r="I3" s="37" t="s">
        <v>106</v>
      </c>
      <c r="J3" s="37" t="s">
        <v>107</v>
      </c>
      <c r="K3" s="37" t="s">
        <v>111</v>
      </c>
      <c r="L3" s="37" t="s">
        <v>116</v>
      </c>
      <c r="M3" s="37" t="s">
        <v>120</v>
      </c>
      <c r="N3" s="37" t="s">
        <v>119</v>
      </c>
      <c r="O3" s="37" t="s">
        <v>118</v>
      </c>
      <c r="P3" s="66" t="s">
        <v>67</v>
      </c>
    </row>
    <row r="4" spans="1:16" ht="15.75">
      <c r="A4" s="67" t="s">
        <v>68</v>
      </c>
      <c r="B4" s="68"/>
      <c r="C4" s="69"/>
      <c r="D4" s="9"/>
      <c r="E4" s="9"/>
      <c r="F4" s="9"/>
      <c r="G4" s="12"/>
      <c r="H4" s="9"/>
      <c r="I4" s="9"/>
      <c r="J4" s="9"/>
      <c r="K4" s="9"/>
      <c r="L4" s="9"/>
      <c r="M4" s="9"/>
      <c r="N4" s="9"/>
      <c r="O4" s="9"/>
      <c r="P4" s="226"/>
    </row>
    <row r="5" spans="1:16" ht="15.75">
      <c r="A5" s="70" t="s">
        <v>11</v>
      </c>
      <c r="B5" s="71">
        <f>B9</f>
        <v>40634</v>
      </c>
      <c r="C5" s="72">
        <f>SUM(D5:O5)</f>
        <v>37228</v>
      </c>
      <c r="D5" s="16">
        <f>D9</f>
        <v>5516</v>
      </c>
      <c r="E5" s="16">
        <f aca="true" t="shared" si="0" ref="E5:O5">E9</f>
        <v>47</v>
      </c>
      <c r="F5" s="16">
        <f t="shared" si="0"/>
        <v>800</v>
      </c>
      <c r="G5" s="16">
        <f t="shared" si="0"/>
        <v>3364</v>
      </c>
      <c r="H5" s="16">
        <f t="shared" si="0"/>
        <v>997</v>
      </c>
      <c r="I5" s="16">
        <f t="shared" si="0"/>
        <v>10816</v>
      </c>
      <c r="J5" s="16">
        <f t="shared" si="0"/>
        <v>9010</v>
      </c>
      <c r="K5" s="16">
        <f t="shared" si="0"/>
        <v>516</v>
      </c>
      <c r="L5" s="16">
        <f t="shared" si="0"/>
        <v>86</v>
      </c>
      <c r="M5" s="16">
        <f t="shared" si="0"/>
        <v>45</v>
      </c>
      <c r="N5" s="16">
        <f t="shared" si="0"/>
        <v>1356</v>
      </c>
      <c r="O5" s="16">
        <f t="shared" si="0"/>
        <v>4675</v>
      </c>
      <c r="P5" s="73">
        <f>C5/B5*100</f>
        <v>91.61785696707192</v>
      </c>
    </row>
    <row r="6" spans="1:16" ht="15.75">
      <c r="A6" s="70" t="s">
        <v>12</v>
      </c>
      <c r="B6" s="71">
        <f>B17+B22</f>
        <v>62905.8</v>
      </c>
      <c r="C6" s="72">
        <f>SUM(D6:O6)</f>
        <v>8448.65</v>
      </c>
      <c r="D6" s="16">
        <f aca="true" t="shared" si="1" ref="D6:O6">D7+D8</f>
        <v>0</v>
      </c>
      <c r="E6" s="16">
        <f t="shared" si="1"/>
        <v>0</v>
      </c>
      <c r="F6" s="16">
        <f t="shared" si="1"/>
        <v>347.9</v>
      </c>
      <c r="G6" s="16">
        <f t="shared" si="1"/>
        <v>0</v>
      </c>
      <c r="H6" s="16">
        <f t="shared" si="1"/>
        <v>0</v>
      </c>
      <c r="I6" s="16">
        <f t="shared" si="1"/>
        <v>0</v>
      </c>
      <c r="J6" s="16">
        <f t="shared" si="1"/>
        <v>0</v>
      </c>
      <c r="K6" s="16">
        <f t="shared" si="1"/>
        <v>0</v>
      </c>
      <c r="L6" s="16">
        <f t="shared" si="1"/>
        <v>0</v>
      </c>
      <c r="M6" s="16">
        <f t="shared" si="1"/>
        <v>0</v>
      </c>
      <c r="N6" s="16">
        <f t="shared" si="1"/>
        <v>0</v>
      </c>
      <c r="O6" s="16">
        <f t="shared" si="1"/>
        <v>8100.75</v>
      </c>
      <c r="P6" s="73">
        <f>C6/B6*100</f>
        <v>13.430637556473329</v>
      </c>
    </row>
    <row r="7" spans="1:16" ht="15.75">
      <c r="A7" s="70" t="s">
        <v>69</v>
      </c>
      <c r="B7" s="72">
        <f>B17</f>
        <v>51327</v>
      </c>
      <c r="C7" s="72">
        <f>SUM(D7:O7)</f>
        <v>7557</v>
      </c>
      <c r="D7" s="16">
        <f>D17</f>
        <v>0</v>
      </c>
      <c r="E7" s="16">
        <f aca="true" t="shared" si="2" ref="E7:O7">E17</f>
        <v>0</v>
      </c>
      <c r="F7" s="16">
        <f t="shared" si="2"/>
        <v>0</v>
      </c>
      <c r="G7" s="16">
        <f t="shared" si="2"/>
        <v>0</v>
      </c>
      <c r="H7" s="16">
        <f t="shared" si="2"/>
        <v>0</v>
      </c>
      <c r="I7" s="16">
        <f t="shared" si="2"/>
        <v>0</v>
      </c>
      <c r="J7" s="16">
        <f t="shared" si="2"/>
        <v>0</v>
      </c>
      <c r="K7" s="16">
        <f t="shared" si="2"/>
        <v>0</v>
      </c>
      <c r="L7" s="16">
        <f t="shared" si="2"/>
        <v>0</v>
      </c>
      <c r="M7" s="16">
        <f t="shared" si="2"/>
        <v>0</v>
      </c>
      <c r="N7" s="16">
        <f t="shared" si="2"/>
        <v>0</v>
      </c>
      <c r="O7" s="16">
        <f t="shared" si="2"/>
        <v>7557</v>
      </c>
      <c r="P7" s="73">
        <f>C7/B7*100</f>
        <v>14.723245075691157</v>
      </c>
    </row>
    <row r="8" spans="1:16" ht="15.75">
      <c r="A8" s="70" t="s">
        <v>70</v>
      </c>
      <c r="B8" s="72">
        <f>B22</f>
        <v>11578.8</v>
      </c>
      <c r="C8" s="72">
        <f>SUM(D8:O8)</f>
        <v>891.65</v>
      </c>
      <c r="D8" s="16">
        <f>D22</f>
        <v>0</v>
      </c>
      <c r="E8" s="16">
        <f aca="true" t="shared" si="3" ref="E8:O8">E22</f>
        <v>0</v>
      </c>
      <c r="F8" s="16">
        <f t="shared" si="3"/>
        <v>347.9</v>
      </c>
      <c r="G8" s="16">
        <f t="shared" si="3"/>
        <v>0</v>
      </c>
      <c r="H8" s="16">
        <f t="shared" si="3"/>
        <v>0</v>
      </c>
      <c r="I8" s="16">
        <f t="shared" si="3"/>
        <v>0</v>
      </c>
      <c r="J8" s="16">
        <f t="shared" si="3"/>
        <v>0</v>
      </c>
      <c r="K8" s="16">
        <f t="shared" si="3"/>
        <v>0</v>
      </c>
      <c r="L8" s="16">
        <f t="shared" si="3"/>
        <v>0</v>
      </c>
      <c r="M8" s="16">
        <f t="shared" si="3"/>
        <v>0</v>
      </c>
      <c r="N8" s="16">
        <f t="shared" si="3"/>
        <v>0</v>
      </c>
      <c r="O8" s="16">
        <f t="shared" si="3"/>
        <v>543.75</v>
      </c>
      <c r="P8" s="73">
        <f>C8/B8*100</f>
        <v>7.700711645420942</v>
      </c>
    </row>
    <row r="9" spans="1:16" ht="15.75">
      <c r="A9" s="70" t="s">
        <v>15</v>
      </c>
      <c r="B9" s="72">
        <f>B11+B19+B24+B29+B34+B39+B48</f>
        <v>40634</v>
      </c>
      <c r="C9" s="72">
        <f>SUM(D9:O9)</f>
        <v>37228</v>
      </c>
      <c r="D9" s="16">
        <f aca="true" t="shared" si="4" ref="D9:O9">D11+D19+D24+D29+D34+D39+D48</f>
        <v>5516</v>
      </c>
      <c r="E9" s="16">
        <f t="shared" si="4"/>
        <v>47</v>
      </c>
      <c r="F9" s="16">
        <f t="shared" si="4"/>
        <v>800</v>
      </c>
      <c r="G9" s="16">
        <f t="shared" si="4"/>
        <v>3364</v>
      </c>
      <c r="H9" s="16">
        <f t="shared" si="4"/>
        <v>997</v>
      </c>
      <c r="I9" s="16">
        <f t="shared" si="4"/>
        <v>10816</v>
      </c>
      <c r="J9" s="16">
        <f t="shared" si="4"/>
        <v>9010</v>
      </c>
      <c r="K9" s="16">
        <f t="shared" si="4"/>
        <v>516</v>
      </c>
      <c r="L9" s="16">
        <f t="shared" si="4"/>
        <v>86</v>
      </c>
      <c r="M9" s="16">
        <f t="shared" si="4"/>
        <v>45</v>
      </c>
      <c r="N9" s="16">
        <f t="shared" si="4"/>
        <v>1356</v>
      </c>
      <c r="O9" s="16">
        <f t="shared" si="4"/>
        <v>4675</v>
      </c>
      <c r="P9" s="73">
        <f>C9/B9*100</f>
        <v>91.61785696707192</v>
      </c>
    </row>
    <row r="10" spans="1:16" ht="15.75">
      <c r="A10" s="18" t="s">
        <v>243</v>
      </c>
      <c r="B10" s="19">
        <f>SUM(D10:O10)</f>
        <v>8932</v>
      </c>
      <c r="C10" s="19"/>
      <c r="D10" s="385">
        <v>4</v>
      </c>
      <c r="E10" s="385"/>
      <c r="F10" s="385">
        <v>780</v>
      </c>
      <c r="G10" s="385">
        <v>76</v>
      </c>
      <c r="H10" s="385">
        <v>500</v>
      </c>
      <c r="I10" s="385">
        <v>500</v>
      </c>
      <c r="J10" s="385">
        <v>775</v>
      </c>
      <c r="K10" s="385">
        <v>1123</v>
      </c>
      <c r="L10" s="385"/>
      <c r="M10" s="385">
        <v>26</v>
      </c>
      <c r="N10" s="386">
        <v>1108</v>
      </c>
      <c r="O10" s="385">
        <v>4040</v>
      </c>
      <c r="P10" s="76"/>
    </row>
    <row r="11" spans="1:16" ht="15.75">
      <c r="A11" s="77" t="s">
        <v>162</v>
      </c>
      <c r="B11" s="78">
        <f>B10</f>
        <v>8932</v>
      </c>
      <c r="C11" s="78">
        <f>SUM(D11:O11)</f>
        <v>6600</v>
      </c>
      <c r="D11" s="45">
        <v>1</v>
      </c>
      <c r="E11" s="45"/>
      <c r="F11" s="45">
        <v>595</v>
      </c>
      <c r="G11" s="45">
        <v>76</v>
      </c>
      <c r="H11" s="45">
        <v>150</v>
      </c>
      <c r="I11" s="45">
        <v>323</v>
      </c>
      <c r="J11" s="45">
        <v>720</v>
      </c>
      <c r="K11" s="45">
        <v>177</v>
      </c>
      <c r="L11" s="45"/>
      <c r="M11" s="45">
        <v>12</v>
      </c>
      <c r="N11" s="45">
        <v>585</v>
      </c>
      <c r="O11" s="45">
        <v>3961</v>
      </c>
      <c r="P11" s="79">
        <f>C11/B11*100</f>
        <v>73.89162561576354</v>
      </c>
    </row>
    <row r="12" spans="1:16" ht="15.75">
      <c r="A12" s="80" t="s">
        <v>20</v>
      </c>
      <c r="B12" s="75"/>
      <c r="C12" s="75">
        <f>SUM(D12:O12)</f>
        <v>0</v>
      </c>
      <c r="D12" s="30"/>
      <c r="E12" s="30"/>
      <c r="F12" s="30"/>
      <c r="G12" s="30"/>
      <c r="H12" s="30"/>
      <c r="I12" s="75"/>
      <c r="J12" s="30"/>
      <c r="K12" s="30"/>
      <c r="L12" s="30"/>
      <c r="M12" s="30"/>
      <c r="N12" s="45"/>
      <c r="O12" s="45"/>
      <c r="P12" s="76"/>
    </row>
    <row r="13" spans="1:16" ht="15.75">
      <c r="A13" s="80" t="s">
        <v>71</v>
      </c>
      <c r="B13" s="75"/>
      <c r="C13" s="75">
        <f>SUM(D13:O13)</f>
        <v>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76"/>
    </row>
    <row r="14" spans="1:16" ht="15.75">
      <c r="A14" s="80" t="s">
        <v>290</v>
      </c>
      <c r="B14" s="75"/>
      <c r="C14" s="75">
        <f>SUM(D14:O14)</f>
        <v>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76"/>
    </row>
    <row r="15" spans="1:16" ht="15.75">
      <c r="A15" s="74" t="s">
        <v>72</v>
      </c>
      <c r="B15" s="75">
        <f>B11</f>
        <v>8932</v>
      </c>
      <c r="C15" s="75">
        <f>SUM(D15:O15)</f>
        <v>1100</v>
      </c>
      <c r="D15" s="60"/>
      <c r="E15" s="60"/>
      <c r="F15" s="30"/>
      <c r="G15" s="30"/>
      <c r="H15" s="30"/>
      <c r="I15" s="30"/>
      <c r="J15" s="30"/>
      <c r="K15" s="30"/>
      <c r="L15" s="30"/>
      <c r="M15" s="30"/>
      <c r="N15" s="30"/>
      <c r="O15" s="30">
        <v>1100</v>
      </c>
      <c r="P15" s="76">
        <f>C15/B15*100</f>
        <v>12.31527093596059</v>
      </c>
    </row>
    <row r="16" spans="1:16" ht="15.75">
      <c r="A16" s="74" t="s">
        <v>73</v>
      </c>
      <c r="B16" s="75">
        <v>57.5</v>
      </c>
      <c r="C16" s="75">
        <f>C17/C15*10</f>
        <v>68.7</v>
      </c>
      <c r="D16" s="60"/>
      <c r="E16" s="60"/>
      <c r="F16" s="30"/>
      <c r="G16" s="30"/>
      <c r="H16" s="30"/>
      <c r="I16" s="30"/>
      <c r="J16" s="30"/>
      <c r="K16" s="30"/>
      <c r="L16" s="30"/>
      <c r="M16" s="30"/>
      <c r="N16" s="30"/>
      <c r="O16" s="30">
        <v>68.7</v>
      </c>
      <c r="P16" s="76">
        <f>C16/B16*100</f>
        <v>119.47826086956522</v>
      </c>
    </row>
    <row r="17" spans="1:16" ht="15.75">
      <c r="A17" s="74" t="s">
        <v>74</v>
      </c>
      <c r="B17" s="75">
        <v>51327</v>
      </c>
      <c r="C17" s="75">
        <f>SUM(D17:O17)</f>
        <v>7557</v>
      </c>
      <c r="D17" s="26">
        <f aca="true" t="shared" si="5" ref="D17:O17">D16*D15/10</f>
        <v>0</v>
      </c>
      <c r="E17" s="26">
        <f t="shared" si="5"/>
        <v>0</v>
      </c>
      <c r="F17" s="26">
        <f t="shared" si="5"/>
        <v>0</v>
      </c>
      <c r="G17" s="26">
        <f t="shared" si="5"/>
        <v>0</v>
      </c>
      <c r="H17" s="26">
        <f t="shared" si="5"/>
        <v>0</v>
      </c>
      <c r="I17" s="26">
        <f t="shared" si="5"/>
        <v>0</v>
      </c>
      <c r="J17" s="26">
        <f t="shared" si="5"/>
        <v>0</v>
      </c>
      <c r="K17" s="26">
        <f t="shared" si="5"/>
        <v>0</v>
      </c>
      <c r="L17" s="26">
        <f t="shared" si="5"/>
        <v>0</v>
      </c>
      <c r="M17" s="26">
        <f t="shared" si="5"/>
        <v>0</v>
      </c>
      <c r="N17" s="26">
        <f t="shared" si="5"/>
        <v>0</v>
      </c>
      <c r="O17" s="26">
        <f t="shared" si="5"/>
        <v>7557</v>
      </c>
      <c r="P17" s="76">
        <f>C17/B17*100</f>
        <v>14.723245075691157</v>
      </c>
    </row>
    <row r="18" spans="1:16" ht="15.75">
      <c r="A18" s="18" t="s">
        <v>244</v>
      </c>
      <c r="B18" s="19">
        <f>SUM(D18:O18)</f>
        <v>1727</v>
      </c>
      <c r="C18" s="19"/>
      <c r="D18" s="370">
        <v>12</v>
      </c>
      <c r="E18" s="370"/>
      <c r="F18" s="370">
        <v>90</v>
      </c>
      <c r="G18" s="370">
        <v>80</v>
      </c>
      <c r="H18" s="370">
        <v>27</v>
      </c>
      <c r="I18" s="370">
        <v>250</v>
      </c>
      <c r="J18" s="370">
        <v>114</v>
      </c>
      <c r="K18" s="370"/>
      <c r="L18" s="370">
        <v>75</v>
      </c>
      <c r="M18" s="370">
        <v>24</v>
      </c>
      <c r="N18" s="370">
        <v>650</v>
      </c>
      <c r="O18" s="370">
        <v>405</v>
      </c>
      <c r="P18" s="76"/>
    </row>
    <row r="19" spans="1:16" ht="15.75">
      <c r="A19" s="77" t="s">
        <v>163</v>
      </c>
      <c r="B19" s="78">
        <f>B18</f>
        <v>1727</v>
      </c>
      <c r="C19" s="78">
        <f>SUM(D19:O19)</f>
        <v>1346</v>
      </c>
      <c r="D19" s="182">
        <v>15</v>
      </c>
      <c r="E19" s="182"/>
      <c r="F19" s="182">
        <v>95</v>
      </c>
      <c r="G19" s="182">
        <v>80</v>
      </c>
      <c r="H19" s="182">
        <v>12</v>
      </c>
      <c r="I19" s="182">
        <v>26</v>
      </c>
      <c r="J19" s="182">
        <v>120</v>
      </c>
      <c r="K19" s="182"/>
      <c r="L19" s="182">
        <v>31</v>
      </c>
      <c r="M19" s="182">
        <v>8</v>
      </c>
      <c r="N19" s="182">
        <v>529</v>
      </c>
      <c r="O19" s="182">
        <v>430</v>
      </c>
      <c r="P19" s="79">
        <f>C19/B19*100</f>
        <v>77.93862188766647</v>
      </c>
    </row>
    <row r="20" spans="1:16" ht="15.75">
      <c r="A20" s="74" t="s">
        <v>72</v>
      </c>
      <c r="B20" s="75">
        <f>B19</f>
        <v>1727</v>
      </c>
      <c r="C20" s="75">
        <f>SUM(D20:O20)</f>
        <v>145</v>
      </c>
      <c r="D20" s="162"/>
      <c r="E20" s="162"/>
      <c r="F20" s="162">
        <v>70</v>
      </c>
      <c r="G20" s="162"/>
      <c r="H20" s="162"/>
      <c r="I20" s="162"/>
      <c r="J20" s="162"/>
      <c r="K20" s="162"/>
      <c r="L20" s="162"/>
      <c r="M20" s="162"/>
      <c r="N20" s="162"/>
      <c r="O20" s="162">
        <v>75</v>
      </c>
      <c r="P20" s="76">
        <f>C20/B20*100</f>
        <v>8.396062536189925</v>
      </c>
    </row>
    <row r="21" spans="1:16" ht="15.75">
      <c r="A21" s="74" t="s">
        <v>73</v>
      </c>
      <c r="B21" s="75">
        <v>67</v>
      </c>
      <c r="C21" s="81">
        <f>C22/C20*10</f>
        <v>61.49310344827586</v>
      </c>
      <c r="D21" s="162"/>
      <c r="E21" s="162"/>
      <c r="F21" s="162">
        <v>49.7</v>
      </c>
      <c r="G21" s="162"/>
      <c r="H21" s="162"/>
      <c r="I21" s="162"/>
      <c r="J21" s="162"/>
      <c r="K21" s="162"/>
      <c r="L21" s="162"/>
      <c r="M21" s="162"/>
      <c r="N21" s="162"/>
      <c r="O21" s="162">
        <v>72.5</v>
      </c>
      <c r="P21" s="76">
        <f>C21/B21*100</f>
        <v>91.78075141533711</v>
      </c>
    </row>
    <row r="22" spans="1:16" ht="15.75">
      <c r="A22" s="74" t="s">
        <v>74</v>
      </c>
      <c r="B22" s="75">
        <v>11578.8</v>
      </c>
      <c r="C22" s="75">
        <f>SUM(D22:O22)</f>
        <v>891.65</v>
      </c>
      <c r="D22" s="26">
        <f aca="true" t="shared" si="6" ref="D22:O22">D21*D20/10</f>
        <v>0</v>
      </c>
      <c r="E22" s="26">
        <f t="shared" si="6"/>
        <v>0</v>
      </c>
      <c r="F22" s="26">
        <f t="shared" si="6"/>
        <v>347.9</v>
      </c>
      <c r="G22" s="26">
        <f t="shared" si="6"/>
        <v>0</v>
      </c>
      <c r="H22" s="26">
        <f t="shared" si="6"/>
        <v>0</v>
      </c>
      <c r="I22" s="26">
        <f t="shared" si="6"/>
        <v>0</v>
      </c>
      <c r="J22" s="26">
        <f t="shared" si="6"/>
        <v>0</v>
      </c>
      <c r="K22" s="26">
        <f t="shared" si="6"/>
        <v>0</v>
      </c>
      <c r="L22" s="26">
        <f t="shared" si="6"/>
        <v>0</v>
      </c>
      <c r="M22" s="26">
        <f t="shared" si="6"/>
        <v>0</v>
      </c>
      <c r="N22" s="26">
        <f t="shared" si="6"/>
        <v>0</v>
      </c>
      <c r="O22" s="26">
        <f t="shared" si="6"/>
        <v>543.75</v>
      </c>
      <c r="P22" s="76">
        <f>C22/B22*100</f>
        <v>7.700711645420942</v>
      </c>
    </row>
    <row r="23" spans="1:16" ht="15.75">
      <c r="A23" s="18" t="s">
        <v>245</v>
      </c>
      <c r="B23" s="19">
        <f>SUM(D23:O23)</f>
        <v>527</v>
      </c>
      <c r="C23" s="19"/>
      <c r="D23" s="370">
        <v>64</v>
      </c>
      <c r="E23" s="370"/>
      <c r="F23" s="370">
        <v>10</v>
      </c>
      <c r="G23" s="370">
        <v>55</v>
      </c>
      <c r="H23" s="370">
        <v>50</v>
      </c>
      <c r="I23" s="370">
        <v>20</v>
      </c>
      <c r="J23" s="370">
        <v>220</v>
      </c>
      <c r="K23" s="370"/>
      <c r="L23" s="370">
        <v>13</v>
      </c>
      <c r="M23" s="370"/>
      <c r="N23" s="370">
        <v>10</v>
      </c>
      <c r="O23" s="370">
        <v>85</v>
      </c>
      <c r="P23" s="76"/>
    </row>
    <row r="24" spans="1:16" ht="15.75">
      <c r="A24" s="77" t="s">
        <v>164</v>
      </c>
      <c r="B24" s="78">
        <f>B23</f>
        <v>527</v>
      </c>
      <c r="C24" s="78">
        <f>SUM(D24:O24)</f>
        <v>55</v>
      </c>
      <c r="D24" s="162"/>
      <c r="E24" s="162"/>
      <c r="F24" s="162"/>
      <c r="G24" s="162">
        <v>55</v>
      </c>
      <c r="H24" s="162"/>
      <c r="I24" s="162"/>
      <c r="J24" s="162"/>
      <c r="K24" s="162"/>
      <c r="L24" s="162"/>
      <c r="M24" s="162"/>
      <c r="N24" s="162"/>
      <c r="O24" s="162"/>
      <c r="P24" s="79">
        <f>C24/B24*100</f>
        <v>10.436432637571158</v>
      </c>
    </row>
    <row r="25" spans="1:16" ht="15.75">
      <c r="A25" s="74" t="s">
        <v>72</v>
      </c>
      <c r="B25" s="75">
        <f>B24</f>
        <v>527</v>
      </c>
      <c r="C25" s="75">
        <f>SUM(D25:O25)</f>
        <v>13</v>
      </c>
      <c r="D25" s="162"/>
      <c r="E25" s="162"/>
      <c r="F25" s="162"/>
      <c r="G25" s="162">
        <v>13</v>
      </c>
      <c r="H25" s="162"/>
      <c r="I25" s="162"/>
      <c r="J25" s="162"/>
      <c r="K25" s="162"/>
      <c r="L25" s="162"/>
      <c r="M25" s="162"/>
      <c r="N25" s="162"/>
      <c r="O25" s="162"/>
      <c r="P25" s="76">
        <f>C25/B25*100</f>
        <v>2.4667931688804554</v>
      </c>
    </row>
    <row r="26" spans="1:16" ht="15.75">
      <c r="A26" s="106" t="s">
        <v>73</v>
      </c>
      <c r="B26" s="75">
        <v>184.8</v>
      </c>
      <c r="C26" s="81">
        <f>C27/C25*10</f>
        <v>100</v>
      </c>
      <c r="D26" s="162"/>
      <c r="E26" s="162"/>
      <c r="F26" s="162"/>
      <c r="G26" s="162">
        <v>100</v>
      </c>
      <c r="H26" s="162"/>
      <c r="I26" s="162"/>
      <c r="J26" s="162"/>
      <c r="K26" s="162"/>
      <c r="L26" s="162"/>
      <c r="M26" s="162"/>
      <c r="N26" s="162"/>
      <c r="O26" s="162"/>
      <c r="P26" s="76">
        <f>C26/B26*100</f>
        <v>54.112554112554115</v>
      </c>
    </row>
    <row r="27" spans="1:16" ht="15.75">
      <c r="A27" s="74" t="s">
        <v>74</v>
      </c>
      <c r="B27" s="75">
        <v>9736.5</v>
      </c>
      <c r="C27" s="75">
        <f>SUM(D27:O27)</f>
        <v>130</v>
      </c>
      <c r="D27" s="26">
        <f aca="true" t="shared" si="7" ref="D27:O27">D26*D25/10</f>
        <v>0</v>
      </c>
      <c r="E27" s="26">
        <f t="shared" si="7"/>
        <v>0</v>
      </c>
      <c r="F27" s="26">
        <f t="shared" si="7"/>
        <v>0</v>
      </c>
      <c r="G27" s="26">
        <f t="shared" si="7"/>
        <v>130</v>
      </c>
      <c r="H27" s="26">
        <f t="shared" si="7"/>
        <v>0</v>
      </c>
      <c r="I27" s="26">
        <f t="shared" si="7"/>
        <v>0</v>
      </c>
      <c r="J27" s="26">
        <f t="shared" si="7"/>
        <v>0</v>
      </c>
      <c r="K27" s="26">
        <f t="shared" si="7"/>
        <v>0</v>
      </c>
      <c r="L27" s="26">
        <f t="shared" si="7"/>
        <v>0</v>
      </c>
      <c r="M27" s="26">
        <f t="shared" si="7"/>
        <v>0</v>
      </c>
      <c r="N27" s="26">
        <f t="shared" si="7"/>
        <v>0</v>
      </c>
      <c r="O27" s="26">
        <f t="shared" si="7"/>
        <v>0</v>
      </c>
      <c r="P27" s="76">
        <f>C27/B27*100</f>
        <v>1.335182046936784</v>
      </c>
    </row>
    <row r="28" spans="1:16" ht="15.75">
      <c r="A28" s="18" t="s">
        <v>248</v>
      </c>
      <c r="B28" s="19">
        <f>SUM(D28:O28)</f>
        <v>146</v>
      </c>
      <c r="C28" s="19"/>
      <c r="D28" s="370"/>
      <c r="E28" s="370"/>
      <c r="F28" s="370"/>
      <c r="G28" s="370"/>
      <c r="H28" s="370">
        <v>50</v>
      </c>
      <c r="I28" s="370"/>
      <c r="J28" s="370">
        <v>96</v>
      </c>
      <c r="K28" s="370"/>
      <c r="L28" s="370"/>
      <c r="M28" s="370"/>
      <c r="N28" s="370"/>
      <c r="O28" s="370"/>
      <c r="P28" s="20"/>
    </row>
    <row r="29" spans="1:16" ht="15.75">
      <c r="A29" s="77" t="s">
        <v>165</v>
      </c>
      <c r="B29" s="78">
        <f>B28</f>
        <v>146</v>
      </c>
      <c r="C29" s="78">
        <f>SUM(D29:O29)</f>
        <v>0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79">
        <f>C29/B29*100</f>
        <v>0</v>
      </c>
    </row>
    <row r="30" spans="1:16" ht="15.75">
      <c r="A30" s="74" t="s">
        <v>72</v>
      </c>
      <c r="B30" s="75">
        <f>B29</f>
        <v>146</v>
      </c>
      <c r="C30" s="75">
        <f>SUM(D30:O30)</f>
        <v>0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76">
        <f>C30/B30*100</f>
        <v>0</v>
      </c>
    </row>
    <row r="31" spans="1:16" ht="15.75">
      <c r="A31" s="74" t="s">
        <v>73</v>
      </c>
      <c r="B31" s="75">
        <v>23.7</v>
      </c>
      <c r="C31" s="75" t="e">
        <f>C32/C30*10</f>
        <v>#DIV/0!</v>
      </c>
      <c r="D31" s="46"/>
      <c r="E31" s="46"/>
      <c r="F31" s="46"/>
      <c r="G31" s="46"/>
      <c r="H31" s="46"/>
      <c r="I31" s="46"/>
      <c r="J31" s="46"/>
      <c r="K31" s="46"/>
      <c r="L31" s="46"/>
      <c r="M31" s="194"/>
      <c r="N31" s="194"/>
      <c r="O31" s="194"/>
      <c r="P31" s="76" t="e">
        <f>C31/B31*100</f>
        <v>#DIV/0!</v>
      </c>
    </row>
    <row r="32" spans="1:16" ht="15.75">
      <c r="A32" s="106" t="s">
        <v>74</v>
      </c>
      <c r="B32" s="75">
        <v>345.7</v>
      </c>
      <c r="C32" s="75">
        <f>SUM(D32:O32)</f>
        <v>0</v>
      </c>
      <c r="D32" s="26">
        <f aca="true" t="shared" si="8" ref="D32:O32">D31*D30/10</f>
        <v>0</v>
      </c>
      <c r="E32" s="26">
        <f t="shared" si="8"/>
        <v>0</v>
      </c>
      <c r="F32" s="26">
        <f t="shared" si="8"/>
        <v>0</v>
      </c>
      <c r="G32" s="26">
        <f t="shared" si="8"/>
        <v>0</v>
      </c>
      <c r="H32" s="26">
        <f t="shared" si="8"/>
        <v>0</v>
      </c>
      <c r="I32" s="26">
        <f t="shared" si="8"/>
        <v>0</v>
      </c>
      <c r="J32" s="26">
        <f t="shared" si="8"/>
        <v>0</v>
      </c>
      <c r="K32" s="26">
        <f t="shared" si="8"/>
        <v>0</v>
      </c>
      <c r="L32" s="26">
        <f t="shared" si="8"/>
        <v>0</v>
      </c>
      <c r="M32" s="26">
        <f t="shared" si="8"/>
        <v>0</v>
      </c>
      <c r="N32" s="26">
        <f t="shared" si="8"/>
        <v>0</v>
      </c>
      <c r="O32" s="26">
        <f t="shared" si="8"/>
        <v>0</v>
      </c>
      <c r="P32" s="76">
        <f>C32/B32*100</f>
        <v>0</v>
      </c>
    </row>
    <row r="33" spans="1:16" ht="15.75">
      <c r="A33" s="18" t="s">
        <v>246</v>
      </c>
      <c r="B33" s="19">
        <f>SUM(D33:O33)</f>
        <v>427</v>
      </c>
      <c r="C33" s="19"/>
      <c r="D33" s="370">
        <v>17</v>
      </c>
      <c r="E33" s="370"/>
      <c r="F33" s="370">
        <v>45</v>
      </c>
      <c r="G33" s="370">
        <v>46</v>
      </c>
      <c r="H33" s="370">
        <v>30</v>
      </c>
      <c r="I33" s="370">
        <v>15</v>
      </c>
      <c r="J33" s="370">
        <v>142</v>
      </c>
      <c r="K33" s="370"/>
      <c r="L33" s="370">
        <v>22</v>
      </c>
      <c r="M33" s="370">
        <v>12</v>
      </c>
      <c r="N33" s="370">
        <v>16</v>
      </c>
      <c r="O33" s="370">
        <v>82</v>
      </c>
      <c r="P33" s="76"/>
    </row>
    <row r="34" spans="1:16" ht="15.75">
      <c r="A34" s="77" t="s">
        <v>166</v>
      </c>
      <c r="B34" s="78">
        <f>B33</f>
        <v>427</v>
      </c>
      <c r="C34" s="78">
        <f>SUM(D34:O34)</f>
        <v>35</v>
      </c>
      <c r="D34" s="182"/>
      <c r="E34" s="182"/>
      <c r="F34" s="182"/>
      <c r="G34" s="182">
        <v>35</v>
      </c>
      <c r="H34" s="182"/>
      <c r="I34" s="182"/>
      <c r="J34" s="182"/>
      <c r="K34" s="182"/>
      <c r="L34" s="182"/>
      <c r="M34" s="182"/>
      <c r="N34" s="182"/>
      <c r="O34" s="182"/>
      <c r="P34" s="79">
        <f>C34/B34*100</f>
        <v>8.19672131147541</v>
      </c>
    </row>
    <row r="35" spans="1:16" ht="15.75">
      <c r="A35" s="74" t="s">
        <v>72</v>
      </c>
      <c r="B35" s="75">
        <f>B34</f>
        <v>427</v>
      </c>
      <c r="C35" s="75">
        <f>SUM(D35:O35)</f>
        <v>25</v>
      </c>
      <c r="D35" s="162"/>
      <c r="E35" s="162"/>
      <c r="F35" s="162"/>
      <c r="G35" s="162">
        <v>25</v>
      </c>
      <c r="H35" s="162"/>
      <c r="I35" s="162"/>
      <c r="J35" s="162"/>
      <c r="K35" s="162"/>
      <c r="L35" s="162"/>
      <c r="M35" s="162"/>
      <c r="N35" s="162"/>
      <c r="O35" s="162"/>
      <c r="P35" s="76">
        <f>C35/B35*100</f>
        <v>5.85480093676815</v>
      </c>
    </row>
    <row r="36" spans="1:16" ht="15.75">
      <c r="A36" s="74" t="s">
        <v>73</v>
      </c>
      <c r="B36" s="75">
        <v>12.3</v>
      </c>
      <c r="C36" s="75">
        <f>C37/C35*10</f>
        <v>11.5</v>
      </c>
      <c r="D36" s="162"/>
      <c r="E36" s="162"/>
      <c r="F36" s="162"/>
      <c r="G36" s="162">
        <v>11.5</v>
      </c>
      <c r="H36" s="162"/>
      <c r="I36" s="162"/>
      <c r="J36" s="162"/>
      <c r="K36" s="162"/>
      <c r="L36" s="162"/>
      <c r="M36" s="162"/>
      <c r="N36" s="162"/>
      <c r="O36" s="162"/>
      <c r="P36" s="76">
        <f>C36/B36*100</f>
        <v>93.4959349593496</v>
      </c>
    </row>
    <row r="37" spans="1:16" ht="15.75">
      <c r="A37" s="106" t="s">
        <v>74</v>
      </c>
      <c r="B37" s="75">
        <v>526.4</v>
      </c>
      <c r="C37" s="75">
        <f>SUM(D37:O37)</f>
        <v>28.75</v>
      </c>
      <c r="D37" s="26">
        <f aca="true" t="shared" si="9" ref="D37:O37">D36*D35/10</f>
        <v>0</v>
      </c>
      <c r="E37" s="26">
        <f t="shared" si="9"/>
        <v>0</v>
      </c>
      <c r="F37" s="26">
        <f t="shared" si="9"/>
        <v>0</v>
      </c>
      <c r="G37" s="26">
        <f t="shared" si="9"/>
        <v>28.75</v>
      </c>
      <c r="H37" s="26">
        <f t="shared" si="9"/>
        <v>0</v>
      </c>
      <c r="I37" s="26">
        <f t="shared" si="9"/>
        <v>0</v>
      </c>
      <c r="J37" s="26">
        <f t="shared" si="9"/>
        <v>0</v>
      </c>
      <c r="K37" s="26">
        <f t="shared" si="9"/>
        <v>0</v>
      </c>
      <c r="L37" s="26">
        <f t="shared" si="9"/>
        <v>0</v>
      </c>
      <c r="M37" s="26">
        <f t="shared" si="9"/>
        <v>0</v>
      </c>
      <c r="N37" s="26">
        <f t="shared" si="9"/>
        <v>0</v>
      </c>
      <c r="O37" s="26">
        <f t="shared" si="9"/>
        <v>0</v>
      </c>
      <c r="P37" s="76">
        <f>C37/B37*100</f>
        <v>5.461626139817629</v>
      </c>
    </row>
    <row r="38" spans="1:16" ht="15.75">
      <c r="A38" s="18" t="s">
        <v>249</v>
      </c>
      <c r="B38" s="19">
        <f>SUM(D38:O38)</f>
        <v>25241</v>
      </c>
      <c r="C38" s="19"/>
      <c r="D38" s="370">
        <v>3347</v>
      </c>
      <c r="E38" s="370">
        <v>40</v>
      </c>
      <c r="F38" s="370">
        <v>110</v>
      </c>
      <c r="G38" s="370">
        <v>2370</v>
      </c>
      <c r="H38" s="370">
        <v>700</v>
      </c>
      <c r="I38" s="370">
        <v>10260</v>
      </c>
      <c r="J38" s="370">
        <v>7500</v>
      </c>
      <c r="K38" s="370">
        <v>310</v>
      </c>
      <c r="L38" s="370">
        <v>55</v>
      </c>
      <c r="M38" s="370">
        <v>25</v>
      </c>
      <c r="N38" s="370">
        <v>240</v>
      </c>
      <c r="O38" s="370">
        <v>284</v>
      </c>
      <c r="P38" s="76"/>
    </row>
    <row r="39" spans="1:16" ht="15.75">
      <c r="A39" s="77" t="s">
        <v>168</v>
      </c>
      <c r="B39" s="78">
        <f>B38</f>
        <v>25241</v>
      </c>
      <c r="C39" s="78">
        <f>SUM(D39:O39)</f>
        <v>25396</v>
      </c>
      <c r="D39" s="182">
        <v>3350</v>
      </c>
      <c r="E39" s="182">
        <v>40</v>
      </c>
      <c r="F39" s="182">
        <v>110</v>
      </c>
      <c r="G39" s="182">
        <v>2380</v>
      </c>
      <c r="H39" s="182">
        <v>700</v>
      </c>
      <c r="I39" s="182">
        <v>10300</v>
      </c>
      <c r="J39" s="182">
        <v>7600</v>
      </c>
      <c r="K39" s="182">
        <v>310</v>
      </c>
      <c r="L39" s="182">
        <v>55</v>
      </c>
      <c r="M39" s="182">
        <v>25</v>
      </c>
      <c r="N39" s="182">
        <v>242</v>
      </c>
      <c r="O39" s="182">
        <v>284</v>
      </c>
      <c r="P39" s="79">
        <f aca="true" t="shared" si="10" ref="P39:P46">C39/B39*100</f>
        <v>100.61408026623351</v>
      </c>
    </row>
    <row r="40" spans="1:16" ht="15.75">
      <c r="A40" s="74" t="s">
        <v>72</v>
      </c>
      <c r="B40" s="75">
        <f>B39</f>
        <v>25241</v>
      </c>
      <c r="C40" s="75">
        <f>SUM(D40:O40)</f>
        <v>25243</v>
      </c>
      <c r="D40" s="162">
        <v>3347</v>
      </c>
      <c r="E40" s="162">
        <v>40</v>
      </c>
      <c r="F40" s="162">
        <v>110</v>
      </c>
      <c r="G40" s="162">
        <v>2370</v>
      </c>
      <c r="H40" s="162">
        <v>700</v>
      </c>
      <c r="I40" s="162">
        <v>10260</v>
      </c>
      <c r="J40" s="162">
        <v>7500</v>
      </c>
      <c r="K40" s="162">
        <v>310</v>
      </c>
      <c r="L40" s="162">
        <v>55</v>
      </c>
      <c r="M40" s="162">
        <v>25</v>
      </c>
      <c r="N40" s="162">
        <v>242</v>
      </c>
      <c r="O40" s="162">
        <v>284</v>
      </c>
      <c r="P40" s="76">
        <f t="shared" si="10"/>
        <v>100.0079236163385</v>
      </c>
    </row>
    <row r="41" spans="1:19" ht="15.75">
      <c r="A41" s="106" t="s">
        <v>73</v>
      </c>
      <c r="B41" s="75">
        <v>374.8</v>
      </c>
      <c r="C41" s="81">
        <f>C42/C40*10</f>
        <v>375.5746068216931</v>
      </c>
      <c r="D41" s="162">
        <v>415</v>
      </c>
      <c r="E41" s="162">
        <v>346</v>
      </c>
      <c r="F41" s="162">
        <v>161</v>
      </c>
      <c r="G41" s="162">
        <v>400</v>
      </c>
      <c r="H41" s="162">
        <v>286</v>
      </c>
      <c r="I41" s="162">
        <v>390</v>
      </c>
      <c r="J41" s="162">
        <v>365</v>
      </c>
      <c r="K41" s="162">
        <v>188.2</v>
      </c>
      <c r="L41" s="162">
        <v>167</v>
      </c>
      <c r="M41" s="162">
        <v>185</v>
      </c>
      <c r="N41" s="162">
        <v>194</v>
      </c>
      <c r="O41" s="162">
        <v>189.7</v>
      </c>
      <c r="P41" s="76">
        <f t="shared" si="10"/>
        <v>100.20667204420842</v>
      </c>
      <c r="S41" s="229"/>
    </row>
    <row r="42" spans="1:16" ht="15.75">
      <c r="A42" s="74" t="s">
        <v>74</v>
      </c>
      <c r="B42" s="75">
        <v>946122.7</v>
      </c>
      <c r="C42" s="75">
        <f>SUM(D42:O42)</f>
        <v>948062.98</v>
      </c>
      <c r="D42" s="26">
        <f>D40*D41/10</f>
        <v>138900.5</v>
      </c>
      <c r="E42" s="26">
        <f aca="true" t="shared" si="11" ref="E42:O42">E41*E40/10</f>
        <v>1384</v>
      </c>
      <c r="F42" s="26">
        <f t="shared" si="11"/>
        <v>1771</v>
      </c>
      <c r="G42" s="26">
        <f t="shared" si="11"/>
        <v>94800</v>
      </c>
      <c r="H42" s="26">
        <f t="shared" si="11"/>
        <v>20020</v>
      </c>
      <c r="I42" s="26">
        <f t="shared" si="11"/>
        <v>400140</v>
      </c>
      <c r="J42" s="26">
        <f>J40*J41/10</f>
        <v>273750</v>
      </c>
      <c r="K42" s="26">
        <f t="shared" si="11"/>
        <v>5834.2</v>
      </c>
      <c r="L42" s="26">
        <f t="shared" si="11"/>
        <v>918.5</v>
      </c>
      <c r="M42" s="26">
        <f t="shared" si="11"/>
        <v>462.5</v>
      </c>
      <c r="N42" s="26">
        <f t="shared" si="11"/>
        <v>4694.8</v>
      </c>
      <c r="O42" s="26">
        <f t="shared" si="11"/>
        <v>5387.48</v>
      </c>
      <c r="P42" s="76">
        <f t="shared" si="10"/>
        <v>100.20507699477035</v>
      </c>
    </row>
    <row r="43" spans="1:16" ht="15.75">
      <c r="A43" s="82" t="s">
        <v>75</v>
      </c>
      <c r="B43" s="78"/>
      <c r="C43" s="78">
        <f>SUM(D43:O43)</f>
        <v>240</v>
      </c>
      <c r="D43" s="45"/>
      <c r="E43" s="45"/>
      <c r="F43" s="45"/>
      <c r="G43" s="45"/>
      <c r="H43" s="45"/>
      <c r="I43" s="45"/>
      <c r="J43" s="45"/>
      <c r="K43" s="45"/>
      <c r="L43" s="45"/>
      <c r="M43" s="40"/>
      <c r="N43" s="40">
        <v>208</v>
      </c>
      <c r="O43" s="40">
        <v>32</v>
      </c>
      <c r="P43" s="79" t="e">
        <f t="shared" si="10"/>
        <v>#DIV/0!</v>
      </c>
    </row>
    <row r="44" spans="1:16" ht="15.75">
      <c r="A44" s="74" t="s">
        <v>72</v>
      </c>
      <c r="B44" s="75"/>
      <c r="C44" s="75">
        <f>SUM(D44:O44)</f>
        <v>240</v>
      </c>
      <c r="D44" s="30"/>
      <c r="E44" s="30"/>
      <c r="F44" s="30"/>
      <c r="G44" s="30"/>
      <c r="H44" s="30"/>
      <c r="I44" s="30"/>
      <c r="J44" s="30"/>
      <c r="K44" s="30"/>
      <c r="L44" s="30"/>
      <c r="M44" s="41"/>
      <c r="N44" s="40">
        <v>208</v>
      </c>
      <c r="O44" s="40">
        <v>32</v>
      </c>
      <c r="P44" s="76" t="e">
        <f t="shared" si="10"/>
        <v>#DIV/0!</v>
      </c>
    </row>
    <row r="45" spans="1:16" ht="15.75">
      <c r="A45" s="74" t="s">
        <v>73</v>
      </c>
      <c r="B45" s="75"/>
      <c r="C45" s="81">
        <f>C46/C44*10</f>
        <v>417.33333333333337</v>
      </c>
      <c r="D45" s="30"/>
      <c r="E45" s="30"/>
      <c r="F45" s="30"/>
      <c r="G45" s="30"/>
      <c r="H45" s="30"/>
      <c r="I45" s="30"/>
      <c r="J45" s="30"/>
      <c r="K45" s="30"/>
      <c r="L45" s="30"/>
      <c r="M45" s="41"/>
      <c r="N45" s="41">
        <v>420</v>
      </c>
      <c r="O45" s="41">
        <v>400</v>
      </c>
      <c r="P45" s="76" t="e">
        <f t="shared" si="10"/>
        <v>#DIV/0!</v>
      </c>
    </row>
    <row r="46" spans="1:16" ht="15.75">
      <c r="A46" s="74" t="s">
        <v>74</v>
      </c>
      <c r="B46" s="75"/>
      <c r="C46" s="75">
        <f>SUM(D46:O46)</f>
        <v>10016</v>
      </c>
      <c r="D46" s="26">
        <f aca="true" t="shared" si="12" ref="D46:O46">D45*D44/10</f>
        <v>0</v>
      </c>
      <c r="E46" s="26">
        <f t="shared" si="12"/>
        <v>0</v>
      </c>
      <c r="F46" s="26">
        <f t="shared" si="12"/>
        <v>0</v>
      </c>
      <c r="G46" s="26">
        <f t="shared" si="12"/>
        <v>0</v>
      </c>
      <c r="H46" s="26">
        <f t="shared" si="12"/>
        <v>0</v>
      </c>
      <c r="I46" s="26">
        <f t="shared" si="12"/>
        <v>0</v>
      </c>
      <c r="J46" s="26">
        <f t="shared" si="12"/>
        <v>0</v>
      </c>
      <c r="K46" s="26">
        <f t="shared" si="12"/>
        <v>0</v>
      </c>
      <c r="L46" s="26">
        <f t="shared" si="12"/>
        <v>0</v>
      </c>
      <c r="M46" s="26">
        <f t="shared" si="12"/>
        <v>0</v>
      </c>
      <c r="N46" s="26">
        <f t="shared" si="12"/>
        <v>8736</v>
      </c>
      <c r="O46" s="26">
        <f t="shared" si="12"/>
        <v>1280</v>
      </c>
      <c r="P46" s="76" t="e">
        <f t="shared" si="10"/>
        <v>#DIV/0!</v>
      </c>
    </row>
    <row r="47" spans="1:16" ht="15.75">
      <c r="A47" s="18" t="s">
        <v>247</v>
      </c>
      <c r="B47" s="19">
        <f>SUM(D47:O47)</f>
        <v>3634</v>
      </c>
      <c r="C47" s="19"/>
      <c r="D47" s="370">
        <v>2031</v>
      </c>
      <c r="E47" s="370">
        <v>20</v>
      </c>
      <c r="F47" s="370">
        <v>8</v>
      </c>
      <c r="G47" s="370">
        <v>690</v>
      </c>
      <c r="H47" s="370">
        <v>120</v>
      </c>
      <c r="I47" s="370">
        <v>160</v>
      </c>
      <c r="J47" s="370">
        <v>550</v>
      </c>
      <c r="K47" s="370">
        <v>30</v>
      </c>
      <c r="L47" s="370">
        <v>25</v>
      </c>
      <c r="M47" s="370"/>
      <c r="N47" s="370"/>
      <c r="O47" s="370"/>
      <c r="P47" s="76"/>
    </row>
    <row r="48" spans="1:18" ht="15.75">
      <c r="A48" s="77" t="s">
        <v>167</v>
      </c>
      <c r="B48" s="78">
        <f>B47</f>
        <v>3634</v>
      </c>
      <c r="C48" s="78">
        <f>SUM(D48:O48)</f>
        <v>3796</v>
      </c>
      <c r="D48" s="182">
        <v>2150</v>
      </c>
      <c r="E48" s="182">
        <v>7</v>
      </c>
      <c r="F48" s="182"/>
      <c r="G48" s="182">
        <v>738</v>
      </c>
      <c r="H48" s="182">
        <v>135</v>
      </c>
      <c r="I48" s="182">
        <v>167</v>
      </c>
      <c r="J48" s="182">
        <v>570</v>
      </c>
      <c r="K48" s="182">
        <v>29</v>
      </c>
      <c r="L48" s="182"/>
      <c r="M48" s="182"/>
      <c r="N48" s="182"/>
      <c r="O48" s="182"/>
      <c r="P48" s="79">
        <f>C48/B48*100</f>
        <v>104.45789763346176</v>
      </c>
      <c r="R48" s="229"/>
    </row>
    <row r="49" spans="1:16" ht="15.75">
      <c r="A49" s="74" t="s">
        <v>72</v>
      </c>
      <c r="B49" s="75">
        <f>B48</f>
        <v>3634</v>
      </c>
      <c r="C49" s="75">
        <f>SUM(D49:O49)</f>
        <v>3796</v>
      </c>
      <c r="D49" s="173">
        <v>2150</v>
      </c>
      <c r="E49" s="173">
        <v>7</v>
      </c>
      <c r="F49" s="173"/>
      <c r="G49" s="173">
        <v>738</v>
      </c>
      <c r="H49" s="173">
        <v>135</v>
      </c>
      <c r="I49" s="173">
        <v>167</v>
      </c>
      <c r="J49" s="173">
        <v>570</v>
      </c>
      <c r="K49" s="173">
        <v>29</v>
      </c>
      <c r="L49" s="173"/>
      <c r="M49" s="173"/>
      <c r="N49" s="173"/>
      <c r="O49" s="173"/>
      <c r="P49" s="76">
        <f>C49/B49*100</f>
        <v>104.45789763346176</v>
      </c>
    </row>
    <row r="50" spans="1:16" ht="15.75">
      <c r="A50" s="74" t="s">
        <v>76</v>
      </c>
      <c r="B50" s="75">
        <v>410.5</v>
      </c>
      <c r="C50" s="81">
        <f>C51/C49</f>
        <v>392.9486301369863</v>
      </c>
      <c r="D50" s="162">
        <v>400</v>
      </c>
      <c r="E50" s="162">
        <v>249</v>
      </c>
      <c r="F50" s="162"/>
      <c r="G50" s="162">
        <v>400</v>
      </c>
      <c r="H50" s="162">
        <v>320</v>
      </c>
      <c r="I50" s="162">
        <v>390</v>
      </c>
      <c r="J50" s="162">
        <v>390</v>
      </c>
      <c r="K50" s="162">
        <v>140</v>
      </c>
      <c r="L50" s="162"/>
      <c r="M50" s="162"/>
      <c r="N50" s="162"/>
      <c r="O50" s="162"/>
      <c r="P50" s="76">
        <f>C50/B50*100</f>
        <v>95.7243922379991</v>
      </c>
    </row>
    <row r="51" spans="1:16" ht="15.75">
      <c r="A51" s="109" t="s">
        <v>77</v>
      </c>
      <c r="B51" s="227">
        <v>1491767.5</v>
      </c>
      <c r="C51" s="227">
        <f>SUM(D51:O51)</f>
        <v>1491633</v>
      </c>
      <c r="D51" s="31">
        <f>D49*D50</f>
        <v>860000</v>
      </c>
      <c r="E51" s="31">
        <f aca="true" t="shared" si="13" ref="E51:K51">E49*E50</f>
        <v>1743</v>
      </c>
      <c r="F51" s="31"/>
      <c r="G51" s="31">
        <f t="shared" si="13"/>
        <v>295200</v>
      </c>
      <c r="H51" s="31">
        <f t="shared" si="13"/>
        <v>43200</v>
      </c>
      <c r="I51" s="31">
        <f t="shared" si="13"/>
        <v>65130</v>
      </c>
      <c r="J51" s="31">
        <f t="shared" si="13"/>
        <v>222300</v>
      </c>
      <c r="K51" s="31">
        <f t="shared" si="13"/>
        <v>4060</v>
      </c>
      <c r="L51" s="31"/>
      <c r="M51" s="31"/>
      <c r="N51" s="31"/>
      <c r="O51" s="31"/>
      <c r="P51" s="83">
        <f>C51/B51*100</f>
        <v>99.99098384969508</v>
      </c>
    </row>
  </sheetData>
  <sheetProtection/>
  <mergeCells count="2">
    <mergeCell ref="A1:P1"/>
    <mergeCell ref="D2:N2"/>
  </mergeCells>
  <printOptions horizontalCentered="1"/>
  <pageMargins left="0.25" right="0.25" top="0.7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35" sqref="A35"/>
    </sheetView>
  </sheetViews>
  <sheetFormatPr defaultColWidth="9.00390625" defaultRowHeight="15.75"/>
  <cols>
    <col min="1" max="1" width="20.125" style="0" customWidth="1"/>
    <col min="2" max="2" width="8.50390625" style="0" customWidth="1"/>
    <col min="3" max="3" width="7.875" style="0" customWidth="1"/>
    <col min="4" max="4" width="7.375" style="0" customWidth="1"/>
    <col min="5" max="5" width="7.00390625" style="0" customWidth="1"/>
    <col min="6" max="6" width="7.125" style="0" customWidth="1"/>
    <col min="7" max="7" width="7.50390625" style="0" customWidth="1"/>
    <col min="8" max="8" width="7.25390625" style="0" customWidth="1"/>
    <col min="9" max="9" width="7.50390625" style="0" customWidth="1"/>
    <col min="10" max="10" width="6.875" style="0" customWidth="1"/>
    <col min="11" max="11" width="7.00390625" style="0" customWidth="1"/>
    <col min="12" max="13" width="6.625" style="0" customWidth="1"/>
    <col min="14" max="14" width="6.375" style="0" customWidth="1"/>
    <col min="15" max="15" width="6.875" style="0" customWidth="1"/>
    <col min="16" max="16" width="7.125" style="0" customWidth="1"/>
  </cols>
  <sheetData>
    <row r="1" spans="1:16" ht="15.75">
      <c r="A1" s="418" t="s">
        <v>315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</row>
    <row r="2" spans="1:16" ht="15.75">
      <c r="A2" s="1"/>
      <c r="B2" s="1"/>
      <c r="C2" s="2"/>
      <c r="D2" s="36"/>
      <c r="E2" s="36"/>
      <c r="F2" s="36"/>
      <c r="G2" s="36"/>
      <c r="H2" s="36"/>
      <c r="I2" s="36"/>
      <c r="J2" s="36"/>
      <c r="K2" s="36"/>
      <c r="L2" s="36" t="s">
        <v>10</v>
      </c>
      <c r="M2" s="36"/>
      <c r="N2" s="36"/>
      <c r="O2" s="3"/>
      <c r="P2" s="4"/>
    </row>
    <row r="3" spans="1:16" ht="27" customHeight="1">
      <c r="A3" s="5" t="s">
        <v>66</v>
      </c>
      <c r="B3" s="6" t="s">
        <v>312</v>
      </c>
      <c r="C3" s="7" t="s">
        <v>313</v>
      </c>
      <c r="D3" s="236" t="s">
        <v>1</v>
      </c>
      <c r="E3" s="230" t="s">
        <v>104</v>
      </c>
      <c r="F3" s="230" t="s">
        <v>108</v>
      </c>
      <c r="G3" s="230" t="s">
        <v>105</v>
      </c>
      <c r="H3" s="230" t="s">
        <v>3</v>
      </c>
      <c r="I3" s="230" t="s">
        <v>106</v>
      </c>
      <c r="J3" s="230" t="s">
        <v>107</v>
      </c>
      <c r="K3" s="230" t="s">
        <v>4</v>
      </c>
      <c r="L3" s="230" t="s">
        <v>115</v>
      </c>
      <c r="M3" s="230" t="s">
        <v>117</v>
      </c>
      <c r="N3" s="230" t="s">
        <v>7</v>
      </c>
      <c r="O3" s="230" t="s">
        <v>118</v>
      </c>
      <c r="P3" s="389" t="s">
        <v>67</v>
      </c>
    </row>
    <row r="4" spans="1:16" ht="16.5" customHeight="1">
      <c r="A4" s="9" t="s">
        <v>68</v>
      </c>
      <c r="B4" s="10"/>
      <c r="C4" s="11"/>
      <c r="D4" s="9"/>
      <c r="E4" s="9"/>
      <c r="F4" s="9"/>
      <c r="G4" s="12"/>
      <c r="H4" s="9"/>
      <c r="I4" s="9"/>
      <c r="J4" s="9"/>
      <c r="K4" s="9"/>
      <c r="L4" s="9"/>
      <c r="M4" s="9"/>
      <c r="N4" s="9"/>
      <c r="O4" s="9"/>
      <c r="P4" s="13"/>
    </row>
    <row r="5" spans="1:16" ht="15.75">
      <c r="A5" s="14" t="s">
        <v>11</v>
      </c>
      <c r="B5" s="15">
        <f>B9</f>
        <v>39348</v>
      </c>
      <c r="C5" s="16">
        <f>SUM(D5:O5)</f>
        <v>0</v>
      </c>
      <c r="D5" s="16">
        <f>D9</f>
        <v>0</v>
      </c>
      <c r="E5" s="16">
        <f aca="true" t="shared" si="0" ref="E5:O5">E9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6">
        <f t="shared" si="0"/>
        <v>0</v>
      </c>
      <c r="P5" s="17">
        <f aca="true" t="shared" si="1" ref="P5:P11">C5/B5*100</f>
        <v>0</v>
      </c>
    </row>
    <row r="6" spans="1:16" ht="15.75">
      <c r="A6" s="14" t="s">
        <v>12</v>
      </c>
      <c r="B6" s="15">
        <f>B14+B19</f>
        <v>48604.4</v>
      </c>
      <c r="C6" s="16">
        <f aca="true" t="shared" si="2" ref="C6:C12">SUM(D6:O6)</f>
        <v>0</v>
      </c>
      <c r="D6" s="16">
        <f aca="true" t="shared" si="3" ref="D6:O6">D7+D8</f>
        <v>0</v>
      </c>
      <c r="E6" s="16">
        <f t="shared" si="3"/>
        <v>0</v>
      </c>
      <c r="F6" s="16">
        <f t="shared" si="3"/>
        <v>0</v>
      </c>
      <c r="G6" s="16">
        <f t="shared" si="3"/>
        <v>0</v>
      </c>
      <c r="H6" s="16">
        <f t="shared" si="3"/>
        <v>0</v>
      </c>
      <c r="I6" s="16">
        <f t="shared" si="3"/>
        <v>0</v>
      </c>
      <c r="J6" s="16">
        <f t="shared" si="3"/>
        <v>0</v>
      </c>
      <c r="K6" s="16">
        <f t="shared" si="3"/>
        <v>0</v>
      </c>
      <c r="L6" s="16">
        <f t="shared" si="3"/>
        <v>0</v>
      </c>
      <c r="M6" s="16">
        <f t="shared" si="3"/>
        <v>0</v>
      </c>
      <c r="N6" s="16">
        <f t="shared" si="3"/>
        <v>0</v>
      </c>
      <c r="O6" s="16">
        <f t="shared" si="3"/>
        <v>0</v>
      </c>
      <c r="P6" s="17">
        <f t="shared" si="1"/>
        <v>0</v>
      </c>
    </row>
    <row r="7" spans="1:16" ht="15.75">
      <c r="A7" s="33" t="s">
        <v>69</v>
      </c>
      <c r="B7" s="26">
        <f>B14</f>
        <v>31946</v>
      </c>
      <c r="C7" s="34">
        <f t="shared" si="2"/>
        <v>0</v>
      </c>
      <c r="D7" s="26">
        <f>D14</f>
        <v>0</v>
      </c>
      <c r="E7" s="26">
        <f aca="true" t="shared" si="4" ref="E7:O7">E14</f>
        <v>0</v>
      </c>
      <c r="F7" s="26">
        <f t="shared" si="4"/>
        <v>0</v>
      </c>
      <c r="G7" s="26">
        <f t="shared" si="4"/>
        <v>0</v>
      </c>
      <c r="H7" s="26">
        <f t="shared" si="4"/>
        <v>0</v>
      </c>
      <c r="I7" s="26">
        <f t="shared" si="4"/>
        <v>0</v>
      </c>
      <c r="J7" s="26">
        <f t="shared" si="4"/>
        <v>0</v>
      </c>
      <c r="K7" s="26">
        <f t="shared" si="4"/>
        <v>0</v>
      </c>
      <c r="L7" s="26">
        <f t="shared" si="4"/>
        <v>0</v>
      </c>
      <c r="M7" s="26">
        <f t="shared" si="4"/>
        <v>0</v>
      </c>
      <c r="N7" s="26">
        <f t="shared" si="4"/>
        <v>0</v>
      </c>
      <c r="O7" s="26">
        <f t="shared" si="4"/>
        <v>0</v>
      </c>
      <c r="P7" s="98">
        <f t="shared" si="1"/>
        <v>0</v>
      </c>
    </row>
    <row r="8" spans="1:16" ht="15.75">
      <c r="A8" s="105" t="s">
        <v>70</v>
      </c>
      <c r="B8" s="97">
        <f>B19</f>
        <v>16658.4</v>
      </c>
      <c r="C8" s="34">
        <f t="shared" si="2"/>
        <v>0</v>
      </c>
      <c r="D8" s="26">
        <f>D19</f>
        <v>0</v>
      </c>
      <c r="E8" s="26">
        <f aca="true" t="shared" si="5" ref="E8:O8">E19</f>
        <v>0</v>
      </c>
      <c r="F8" s="26">
        <f t="shared" si="5"/>
        <v>0</v>
      </c>
      <c r="G8" s="26">
        <f t="shared" si="5"/>
        <v>0</v>
      </c>
      <c r="H8" s="26">
        <f t="shared" si="5"/>
        <v>0</v>
      </c>
      <c r="I8" s="26">
        <f t="shared" si="5"/>
        <v>0</v>
      </c>
      <c r="J8" s="26">
        <f t="shared" si="5"/>
        <v>0</v>
      </c>
      <c r="K8" s="26">
        <f t="shared" si="5"/>
        <v>0</v>
      </c>
      <c r="L8" s="26">
        <f t="shared" si="5"/>
        <v>0</v>
      </c>
      <c r="M8" s="26">
        <f t="shared" si="5"/>
        <v>0</v>
      </c>
      <c r="N8" s="26">
        <f t="shared" si="5"/>
        <v>0</v>
      </c>
      <c r="O8" s="26">
        <f t="shared" si="5"/>
        <v>0</v>
      </c>
      <c r="P8" s="98">
        <f t="shared" si="1"/>
        <v>0</v>
      </c>
    </row>
    <row r="9" spans="1:16" ht="15.75">
      <c r="A9" s="14" t="s">
        <v>15</v>
      </c>
      <c r="B9" s="16">
        <f>B11+B16+B21+B26+B31+B36+B41</f>
        <v>39348</v>
      </c>
      <c r="C9" s="16">
        <f t="shared" si="2"/>
        <v>0</v>
      </c>
      <c r="D9" s="16">
        <f aca="true" t="shared" si="6" ref="D9:O9">D11+D16+D21+D26+D31+D36+D41</f>
        <v>0</v>
      </c>
      <c r="E9" s="16">
        <f t="shared" si="6"/>
        <v>0</v>
      </c>
      <c r="F9" s="16">
        <f t="shared" si="6"/>
        <v>0</v>
      </c>
      <c r="G9" s="16">
        <f t="shared" si="6"/>
        <v>0</v>
      </c>
      <c r="H9" s="16">
        <f t="shared" si="6"/>
        <v>0</v>
      </c>
      <c r="I9" s="16">
        <f t="shared" si="6"/>
        <v>0</v>
      </c>
      <c r="J9" s="16">
        <f t="shared" si="6"/>
        <v>0</v>
      </c>
      <c r="K9" s="16">
        <f t="shared" si="6"/>
        <v>0</v>
      </c>
      <c r="L9" s="16">
        <f t="shared" si="6"/>
        <v>0</v>
      </c>
      <c r="M9" s="16">
        <f t="shared" si="6"/>
        <v>0</v>
      </c>
      <c r="N9" s="16">
        <f t="shared" si="6"/>
        <v>0</v>
      </c>
      <c r="O9" s="16">
        <f t="shared" si="6"/>
        <v>0</v>
      </c>
      <c r="P9" s="17">
        <f t="shared" si="1"/>
        <v>0</v>
      </c>
    </row>
    <row r="10" spans="1:16" ht="15.75">
      <c r="A10" s="18" t="s">
        <v>243</v>
      </c>
      <c r="B10" s="19">
        <f>SUM(D10:O10)</f>
        <v>5576</v>
      </c>
      <c r="C10" s="19"/>
      <c r="D10" s="387"/>
      <c r="E10" s="387"/>
      <c r="F10" s="387"/>
      <c r="G10" s="387"/>
      <c r="H10" s="387"/>
      <c r="I10" s="387"/>
      <c r="J10" s="387"/>
      <c r="K10" s="387"/>
      <c r="L10" s="387"/>
      <c r="M10" s="388">
        <v>50</v>
      </c>
      <c r="N10" s="388">
        <v>2000</v>
      </c>
      <c r="O10" s="388">
        <v>3526</v>
      </c>
      <c r="P10" s="20"/>
    </row>
    <row r="11" spans="1:16" ht="15.75">
      <c r="A11" s="21" t="s">
        <v>169</v>
      </c>
      <c r="B11" s="23">
        <f>B10</f>
        <v>5576</v>
      </c>
      <c r="C11" s="22">
        <f t="shared" si="2"/>
        <v>0</v>
      </c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4">
        <f t="shared" si="1"/>
        <v>0</v>
      </c>
    </row>
    <row r="12" spans="1:16" ht="15.75">
      <c r="A12" s="99" t="s">
        <v>78</v>
      </c>
      <c r="B12" s="96">
        <f>B11</f>
        <v>5576</v>
      </c>
      <c r="C12" s="97">
        <f t="shared" si="2"/>
        <v>0</v>
      </c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98" t="e">
        <f>C12/C11*100</f>
        <v>#DIV/0!</v>
      </c>
    </row>
    <row r="13" spans="1:16" ht="15.75">
      <c r="A13" s="99" t="s">
        <v>79</v>
      </c>
      <c r="B13" s="96">
        <v>57.3</v>
      </c>
      <c r="C13" s="97" t="e">
        <f>C14/C12*10</f>
        <v>#DIV/0!</v>
      </c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98" t="e">
        <f>C13/B13*100</f>
        <v>#DIV/0!</v>
      </c>
    </row>
    <row r="14" spans="1:16" ht="15.75">
      <c r="A14" s="99" t="s">
        <v>80</v>
      </c>
      <c r="B14" s="96">
        <v>31946</v>
      </c>
      <c r="C14" s="97">
        <f>SUM(D14:O14)</f>
        <v>0</v>
      </c>
      <c r="D14" s="46">
        <f>D13*D12/10</f>
        <v>0</v>
      </c>
      <c r="E14" s="46">
        <f aca="true" t="shared" si="7" ref="E14:O14">E13*E12/10</f>
        <v>0</v>
      </c>
      <c r="F14" s="46">
        <f t="shared" si="7"/>
        <v>0</v>
      </c>
      <c r="G14" s="46">
        <f t="shared" si="7"/>
        <v>0</v>
      </c>
      <c r="H14" s="46">
        <f t="shared" si="7"/>
        <v>0</v>
      </c>
      <c r="I14" s="46">
        <f t="shared" si="7"/>
        <v>0</v>
      </c>
      <c r="J14" s="46">
        <f t="shared" si="7"/>
        <v>0</v>
      </c>
      <c r="K14" s="46">
        <f t="shared" si="7"/>
        <v>0</v>
      </c>
      <c r="L14" s="46">
        <f t="shared" si="7"/>
        <v>0</v>
      </c>
      <c r="M14" s="46">
        <f t="shared" si="7"/>
        <v>0</v>
      </c>
      <c r="N14" s="46">
        <f t="shared" si="7"/>
        <v>0</v>
      </c>
      <c r="O14" s="46">
        <f t="shared" si="7"/>
        <v>0</v>
      </c>
      <c r="P14" s="98">
        <f>C14/B14*100</f>
        <v>0</v>
      </c>
    </row>
    <row r="15" spans="1:16" ht="15.75">
      <c r="A15" s="18" t="s">
        <v>250</v>
      </c>
      <c r="B15" s="19">
        <f>SUM(D15:O15)</f>
        <v>2962</v>
      </c>
      <c r="C15" s="19"/>
      <c r="D15" s="388">
        <v>28</v>
      </c>
      <c r="E15" s="388"/>
      <c r="F15" s="388">
        <v>920</v>
      </c>
      <c r="G15" s="388">
        <v>110</v>
      </c>
      <c r="H15" s="388">
        <v>350</v>
      </c>
      <c r="I15" s="388">
        <v>200</v>
      </c>
      <c r="J15" s="388">
        <v>491</v>
      </c>
      <c r="K15" s="388">
        <v>56</v>
      </c>
      <c r="L15" s="388">
        <v>163</v>
      </c>
      <c r="M15" s="388">
        <v>14</v>
      </c>
      <c r="N15" s="388">
        <v>263</v>
      </c>
      <c r="O15" s="388">
        <v>367</v>
      </c>
      <c r="P15" s="20"/>
    </row>
    <row r="16" spans="1:16" ht="15.75">
      <c r="A16" s="21" t="s">
        <v>170</v>
      </c>
      <c r="B16" s="23">
        <f>B15</f>
        <v>2962</v>
      </c>
      <c r="C16" s="22">
        <f>SUM(D16:O16)</f>
        <v>0</v>
      </c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4">
        <f aca="true" t="shared" si="8" ref="P16:P44">C16/B16*100</f>
        <v>0</v>
      </c>
    </row>
    <row r="17" spans="1:16" ht="15.75">
      <c r="A17" s="99" t="s">
        <v>78</v>
      </c>
      <c r="B17" s="96">
        <f>B16</f>
        <v>2962</v>
      </c>
      <c r="C17" s="97">
        <f>SUM(D17:O17)</f>
        <v>0</v>
      </c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17">
        <f t="shared" si="8"/>
        <v>0</v>
      </c>
    </row>
    <row r="18" spans="1:16" ht="15.75">
      <c r="A18" s="25" t="s">
        <v>79</v>
      </c>
      <c r="B18" s="46">
        <v>56.2</v>
      </c>
      <c r="C18" s="29" t="e">
        <f>C19/C17*10</f>
        <v>#DIV/0!</v>
      </c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7" t="e">
        <f t="shared" si="8"/>
        <v>#DIV/0!</v>
      </c>
    </row>
    <row r="19" spans="1:16" ht="15.75">
      <c r="A19" s="25" t="s">
        <v>80</v>
      </c>
      <c r="B19" s="46">
        <v>16658.4</v>
      </c>
      <c r="C19" s="26">
        <f>SUM(D19:O19)</f>
        <v>0</v>
      </c>
      <c r="D19" s="26">
        <f>D17*D18/10</f>
        <v>0</v>
      </c>
      <c r="E19" s="26">
        <f aca="true" t="shared" si="9" ref="E19:O19">E17*E18/10</f>
        <v>0</v>
      </c>
      <c r="F19" s="26">
        <f t="shared" si="9"/>
        <v>0</v>
      </c>
      <c r="G19" s="26">
        <f t="shared" si="9"/>
        <v>0</v>
      </c>
      <c r="H19" s="26">
        <f t="shared" si="9"/>
        <v>0</v>
      </c>
      <c r="I19" s="26">
        <f t="shared" si="9"/>
        <v>0</v>
      </c>
      <c r="J19" s="26">
        <f t="shared" si="9"/>
        <v>0</v>
      </c>
      <c r="K19" s="26">
        <f t="shared" si="9"/>
        <v>0</v>
      </c>
      <c r="L19" s="26">
        <f t="shared" si="9"/>
        <v>0</v>
      </c>
      <c r="M19" s="26">
        <f t="shared" si="9"/>
        <v>0</v>
      </c>
      <c r="N19" s="26">
        <f t="shared" si="9"/>
        <v>0</v>
      </c>
      <c r="O19" s="26">
        <f t="shared" si="9"/>
        <v>0</v>
      </c>
      <c r="P19" s="27">
        <f t="shared" si="8"/>
        <v>0</v>
      </c>
    </row>
    <row r="20" spans="1:16" ht="15.75">
      <c r="A20" s="18" t="s">
        <v>245</v>
      </c>
      <c r="B20" s="19">
        <f>SUM(D20:O20)</f>
        <v>851</v>
      </c>
      <c r="C20" s="19"/>
      <c r="D20" s="388">
        <v>24</v>
      </c>
      <c r="E20" s="388"/>
      <c r="F20" s="388">
        <v>40</v>
      </c>
      <c r="G20" s="388">
        <v>30</v>
      </c>
      <c r="H20" s="388">
        <v>20</v>
      </c>
      <c r="I20" s="388">
        <v>160</v>
      </c>
      <c r="J20" s="388">
        <v>475</v>
      </c>
      <c r="K20" s="388"/>
      <c r="L20" s="388">
        <v>18</v>
      </c>
      <c r="M20" s="388"/>
      <c r="N20" s="388">
        <v>20</v>
      </c>
      <c r="O20" s="388">
        <v>64</v>
      </c>
      <c r="P20" s="98"/>
    </row>
    <row r="21" spans="1:16" ht="15.75">
      <c r="A21" s="21" t="s">
        <v>171</v>
      </c>
      <c r="B21" s="22">
        <f>B20</f>
        <v>851</v>
      </c>
      <c r="C21" s="22">
        <f>SUM(D21:O21)</f>
        <v>0</v>
      </c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4">
        <f t="shared" si="8"/>
        <v>0</v>
      </c>
    </row>
    <row r="22" spans="1:16" ht="15.75">
      <c r="A22" s="99" t="s">
        <v>78</v>
      </c>
      <c r="B22" s="97">
        <f>B21</f>
        <v>851</v>
      </c>
      <c r="C22" s="97">
        <f>SUM(D22:O22)</f>
        <v>0</v>
      </c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98"/>
    </row>
    <row r="23" spans="1:16" ht="15.75">
      <c r="A23" s="99" t="s">
        <v>79</v>
      </c>
      <c r="B23" s="97">
        <v>223.8</v>
      </c>
      <c r="C23" s="100" t="e">
        <f>C24/C22*10</f>
        <v>#DIV/0!</v>
      </c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98" t="e">
        <f t="shared" si="8"/>
        <v>#DIV/0!</v>
      </c>
    </row>
    <row r="24" spans="1:16" ht="15.75">
      <c r="A24" s="99" t="s">
        <v>80</v>
      </c>
      <c r="B24" s="97">
        <v>19043.6</v>
      </c>
      <c r="C24" s="97">
        <f>SUM(D24:O24)</f>
        <v>0</v>
      </c>
      <c r="D24" s="26">
        <f aca="true" t="shared" si="10" ref="D24:N24">D23*D22/10</f>
        <v>0</v>
      </c>
      <c r="E24" s="26">
        <f t="shared" si="10"/>
        <v>0</v>
      </c>
      <c r="F24" s="26">
        <f t="shared" si="10"/>
        <v>0</v>
      </c>
      <c r="G24" s="26">
        <f t="shared" si="10"/>
        <v>0</v>
      </c>
      <c r="H24" s="26">
        <f t="shared" si="10"/>
        <v>0</v>
      </c>
      <c r="I24" s="26">
        <f t="shared" si="10"/>
        <v>0</v>
      </c>
      <c r="J24" s="26">
        <f t="shared" si="10"/>
        <v>0</v>
      </c>
      <c r="K24" s="26">
        <f t="shared" si="10"/>
        <v>0</v>
      </c>
      <c r="L24" s="26">
        <f t="shared" si="10"/>
        <v>0</v>
      </c>
      <c r="M24" s="26">
        <f t="shared" si="10"/>
        <v>0</v>
      </c>
      <c r="N24" s="26">
        <f t="shared" si="10"/>
        <v>0</v>
      </c>
      <c r="O24" s="26">
        <f>O23*O22/10</f>
        <v>0</v>
      </c>
      <c r="P24" s="98">
        <f t="shared" si="8"/>
        <v>0</v>
      </c>
    </row>
    <row r="25" spans="1:16" ht="15.75">
      <c r="A25" s="18" t="s">
        <v>248</v>
      </c>
      <c r="B25" s="19">
        <f>SUM(D25:O25)</f>
        <v>360</v>
      </c>
      <c r="C25" s="19"/>
      <c r="D25" s="388"/>
      <c r="E25" s="388"/>
      <c r="F25" s="388">
        <v>30</v>
      </c>
      <c r="G25" s="388"/>
      <c r="H25" s="388"/>
      <c r="I25" s="388"/>
      <c r="J25" s="388">
        <v>330</v>
      </c>
      <c r="K25" s="388"/>
      <c r="L25" s="388"/>
      <c r="M25" s="388"/>
      <c r="N25" s="388"/>
      <c r="O25" s="388"/>
      <c r="P25" s="98"/>
    </row>
    <row r="26" spans="1:16" ht="15.75">
      <c r="A26" s="21" t="s">
        <v>172</v>
      </c>
      <c r="B26" s="22">
        <f>B25</f>
        <v>360</v>
      </c>
      <c r="C26" s="22">
        <f>SUM(D26:O26)</f>
        <v>0</v>
      </c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4">
        <f>C26/B26*100</f>
        <v>0</v>
      </c>
    </row>
    <row r="27" spans="1:16" ht="15.75">
      <c r="A27" s="99" t="s">
        <v>78</v>
      </c>
      <c r="B27" s="97">
        <f>B26</f>
        <v>360</v>
      </c>
      <c r="C27" s="97">
        <f>SUM(D27:O27)</f>
        <v>0</v>
      </c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98">
        <f>C27/B27*100</f>
        <v>0</v>
      </c>
    </row>
    <row r="28" spans="1:16" ht="15.75">
      <c r="A28" s="99" t="s">
        <v>79</v>
      </c>
      <c r="B28" s="97">
        <v>18.1</v>
      </c>
      <c r="C28" s="97" t="e">
        <f>C29/C27*10</f>
        <v>#DIV/0!</v>
      </c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98" t="e">
        <f>C28/B28*100</f>
        <v>#DIV/0!</v>
      </c>
    </row>
    <row r="29" spans="1:17" ht="15.75">
      <c r="A29" s="99" t="s">
        <v>80</v>
      </c>
      <c r="B29" s="97">
        <v>652.5</v>
      </c>
      <c r="C29" s="97">
        <f>SUM(D29:O29)</f>
        <v>0</v>
      </c>
      <c r="D29" s="26">
        <f aca="true" t="shared" si="11" ref="D29:O29">D28*D27/10</f>
        <v>0</v>
      </c>
      <c r="E29" s="26">
        <f t="shared" si="11"/>
        <v>0</v>
      </c>
      <c r="F29" s="26">
        <f t="shared" si="11"/>
        <v>0</v>
      </c>
      <c r="G29" s="26">
        <f t="shared" si="11"/>
        <v>0</v>
      </c>
      <c r="H29" s="26">
        <f t="shared" si="11"/>
        <v>0</v>
      </c>
      <c r="I29" s="26">
        <f t="shared" si="11"/>
        <v>0</v>
      </c>
      <c r="J29" s="26">
        <f t="shared" si="11"/>
        <v>0</v>
      </c>
      <c r="K29" s="26">
        <f t="shared" si="11"/>
        <v>0</v>
      </c>
      <c r="L29" s="26">
        <f t="shared" si="11"/>
        <v>0</v>
      </c>
      <c r="M29" s="26">
        <f t="shared" si="11"/>
        <v>0</v>
      </c>
      <c r="N29" s="26">
        <f t="shared" si="11"/>
        <v>0</v>
      </c>
      <c r="O29" s="26">
        <f t="shared" si="11"/>
        <v>0</v>
      </c>
      <c r="P29" s="98">
        <f>C29/B29*100</f>
        <v>0</v>
      </c>
      <c r="Q29" s="94"/>
    </row>
    <row r="30" spans="1:16" ht="15.75">
      <c r="A30" s="18" t="s">
        <v>246</v>
      </c>
      <c r="B30" s="19">
        <f>SUM(D30:O30)</f>
        <v>253</v>
      </c>
      <c r="C30" s="19"/>
      <c r="D30" s="388">
        <v>25</v>
      </c>
      <c r="E30" s="388"/>
      <c r="F30" s="388">
        <v>30</v>
      </c>
      <c r="G30" s="388">
        <v>35</v>
      </c>
      <c r="H30" s="388">
        <v>32</v>
      </c>
      <c r="I30" s="388">
        <v>10</v>
      </c>
      <c r="J30" s="388">
        <v>16</v>
      </c>
      <c r="K30" s="388">
        <v>40</v>
      </c>
      <c r="L30" s="388">
        <v>9</v>
      </c>
      <c r="M30" s="388">
        <v>9</v>
      </c>
      <c r="N30" s="388">
        <v>8</v>
      </c>
      <c r="O30" s="388">
        <v>39</v>
      </c>
      <c r="P30" s="98"/>
    </row>
    <row r="31" spans="1:17" ht="15.75">
      <c r="A31" s="21" t="s">
        <v>173</v>
      </c>
      <c r="B31" s="22">
        <f>B30</f>
        <v>253</v>
      </c>
      <c r="C31" s="22">
        <f>SUM(D31:O31)</f>
        <v>0</v>
      </c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4">
        <f t="shared" si="8"/>
        <v>0</v>
      </c>
      <c r="Q31" s="95"/>
    </row>
    <row r="32" spans="1:16" ht="15.75">
      <c r="A32" s="99" t="s">
        <v>78</v>
      </c>
      <c r="B32" s="97">
        <f>B31</f>
        <v>253</v>
      </c>
      <c r="C32" s="97">
        <f>SUM(D32:O32)</f>
        <v>0</v>
      </c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98">
        <f t="shared" si="8"/>
        <v>0</v>
      </c>
    </row>
    <row r="33" spans="1:16" ht="15.75">
      <c r="A33" s="99" t="s">
        <v>79</v>
      </c>
      <c r="B33" s="97">
        <v>13.4</v>
      </c>
      <c r="C33" s="97" t="e">
        <f>C34/C32*10</f>
        <v>#DIV/0!</v>
      </c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98" t="e">
        <f t="shared" si="8"/>
        <v>#DIV/0!</v>
      </c>
    </row>
    <row r="34" spans="1:16" ht="15.75">
      <c r="A34" s="99" t="s">
        <v>80</v>
      </c>
      <c r="B34" s="97">
        <v>338.7</v>
      </c>
      <c r="C34" s="97">
        <f>SUM(D34:O34)</f>
        <v>0</v>
      </c>
      <c r="D34" s="26">
        <f aca="true" t="shared" si="12" ref="D34:O34">D33*D32/10</f>
        <v>0</v>
      </c>
      <c r="E34" s="26">
        <f t="shared" si="12"/>
        <v>0</v>
      </c>
      <c r="F34" s="26">
        <f t="shared" si="12"/>
        <v>0</v>
      </c>
      <c r="G34" s="26">
        <f t="shared" si="12"/>
        <v>0</v>
      </c>
      <c r="H34" s="26">
        <f t="shared" si="12"/>
        <v>0</v>
      </c>
      <c r="I34" s="26">
        <f t="shared" si="12"/>
        <v>0</v>
      </c>
      <c r="J34" s="26">
        <f t="shared" si="12"/>
        <v>0</v>
      </c>
      <c r="K34" s="26">
        <f t="shared" si="12"/>
        <v>0</v>
      </c>
      <c r="L34" s="26">
        <f t="shared" si="12"/>
        <v>0</v>
      </c>
      <c r="M34" s="26">
        <f t="shared" si="12"/>
        <v>0</v>
      </c>
      <c r="N34" s="26">
        <f t="shared" si="12"/>
        <v>0</v>
      </c>
      <c r="O34" s="26">
        <f t="shared" si="12"/>
        <v>0</v>
      </c>
      <c r="P34" s="98">
        <f t="shared" si="8"/>
        <v>0</v>
      </c>
    </row>
    <row r="35" spans="1:16" ht="15.75">
      <c r="A35" s="18" t="s">
        <v>249</v>
      </c>
      <c r="B35" s="19">
        <f>SUM(D35:O35)</f>
        <v>26270</v>
      </c>
      <c r="C35" s="19"/>
      <c r="D35" s="390">
        <v>3206</v>
      </c>
      <c r="E35" s="390">
        <v>50</v>
      </c>
      <c r="F35" s="390">
        <v>200</v>
      </c>
      <c r="G35" s="390">
        <v>2962</v>
      </c>
      <c r="H35" s="390">
        <v>875</v>
      </c>
      <c r="I35" s="390">
        <v>11450</v>
      </c>
      <c r="J35" s="390">
        <v>7150</v>
      </c>
      <c r="K35" s="390">
        <v>168</v>
      </c>
      <c r="L35" s="390">
        <v>65</v>
      </c>
      <c r="M35" s="390">
        <v>3</v>
      </c>
      <c r="N35" s="390">
        <v>10</v>
      </c>
      <c r="O35" s="390">
        <v>131</v>
      </c>
      <c r="P35" s="98"/>
    </row>
    <row r="36" spans="1:16" ht="15.75">
      <c r="A36" s="21" t="s">
        <v>174</v>
      </c>
      <c r="B36" s="22">
        <f>B35</f>
        <v>26270</v>
      </c>
      <c r="C36" s="22">
        <f>SUM(D36:O36)</f>
        <v>0</v>
      </c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4">
        <f t="shared" si="8"/>
        <v>0</v>
      </c>
    </row>
    <row r="37" spans="1:16" ht="15.75">
      <c r="A37" s="99" t="s">
        <v>78</v>
      </c>
      <c r="B37" s="97">
        <f>B36</f>
        <v>26270</v>
      </c>
      <c r="C37" s="97">
        <f>SUM(D37:O37)</f>
        <v>0</v>
      </c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98">
        <f t="shared" si="8"/>
        <v>0</v>
      </c>
    </row>
    <row r="38" spans="1:16" ht="15.75">
      <c r="A38" s="99" t="s">
        <v>79</v>
      </c>
      <c r="B38" s="97">
        <v>407.7</v>
      </c>
      <c r="C38" s="100" t="e">
        <f>C39/C37*10</f>
        <v>#DIV/0!</v>
      </c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98" t="e">
        <f t="shared" si="8"/>
        <v>#DIV/0!</v>
      </c>
    </row>
    <row r="39" spans="1:16" ht="15.75">
      <c r="A39" s="99" t="s">
        <v>80</v>
      </c>
      <c r="B39" s="97">
        <v>1071058.5</v>
      </c>
      <c r="C39" s="97">
        <f>SUM(D39:O39)</f>
        <v>0</v>
      </c>
      <c r="D39" s="122">
        <f>D38*D37/10</f>
        <v>0</v>
      </c>
      <c r="E39" s="122">
        <f aca="true" t="shared" si="13" ref="E39:O39">E38*E37/10</f>
        <v>0</v>
      </c>
      <c r="F39" s="122">
        <f t="shared" si="13"/>
        <v>0</v>
      </c>
      <c r="G39" s="122">
        <f t="shared" si="13"/>
        <v>0</v>
      </c>
      <c r="H39" s="122">
        <f t="shared" si="13"/>
        <v>0</v>
      </c>
      <c r="I39" s="122">
        <f>I38*I37/10</f>
        <v>0</v>
      </c>
      <c r="J39" s="122">
        <f t="shared" si="13"/>
        <v>0</v>
      </c>
      <c r="K39" s="122">
        <f t="shared" si="13"/>
        <v>0</v>
      </c>
      <c r="L39" s="122">
        <f t="shared" si="13"/>
        <v>0</v>
      </c>
      <c r="M39" s="122">
        <f t="shared" si="13"/>
        <v>0</v>
      </c>
      <c r="N39" s="122">
        <f t="shared" si="13"/>
        <v>0</v>
      </c>
      <c r="O39" s="122">
        <f t="shared" si="13"/>
        <v>0</v>
      </c>
      <c r="P39" s="98">
        <f t="shared" si="8"/>
        <v>0</v>
      </c>
    </row>
    <row r="40" spans="1:16" ht="15.75">
      <c r="A40" s="18" t="s">
        <v>251</v>
      </c>
      <c r="B40" s="19">
        <f>SUM(D40:O40)</f>
        <v>3076</v>
      </c>
      <c r="C40" s="19"/>
      <c r="D40" s="390">
        <v>1958</v>
      </c>
      <c r="E40" s="391">
        <v>30</v>
      </c>
      <c r="F40" s="390">
        <v>8</v>
      </c>
      <c r="G40" s="390">
        <v>850</v>
      </c>
      <c r="H40" s="390">
        <v>48</v>
      </c>
      <c r="I40" s="390">
        <v>60</v>
      </c>
      <c r="J40" s="390">
        <v>90</v>
      </c>
      <c r="K40" s="390">
        <v>18</v>
      </c>
      <c r="L40" s="390">
        <v>14</v>
      </c>
      <c r="M40" s="390"/>
      <c r="N40" s="390"/>
      <c r="O40" s="390"/>
      <c r="P40" s="98"/>
    </row>
    <row r="41" spans="1:16" ht="15.75">
      <c r="A41" s="21" t="s">
        <v>175</v>
      </c>
      <c r="B41" s="22">
        <f>B40</f>
        <v>3076</v>
      </c>
      <c r="C41" s="22">
        <f>SUM(D41:O41)</f>
        <v>0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4">
        <f t="shared" si="8"/>
        <v>0</v>
      </c>
    </row>
    <row r="42" spans="1:16" ht="15.75">
      <c r="A42" s="99" t="s">
        <v>81</v>
      </c>
      <c r="B42" s="97">
        <f>B41</f>
        <v>3076</v>
      </c>
      <c r="C42" s="97">
        <f>SUM(D42:O42)</f>
        <v>0</v>
      </c>
      <c r="D42" s="162"/>
      <c r="E42" s="162"/>
      <c r="F42" s="162"/>
      <c r="G42" s="162"/>
      <c r="H42" s="162"/>
      <c r="I42" s="162"/>
      <c r="J42" s="162"/>
      <c r="K42" s="162"/>
      <c r="L42" s="162"/>
      <c r="M42" s="166"/>
      <c r="N42" s="166"/>
      <c r="O42" s="166"/>
      <c r="P42" s="98">
        <f t="shared" si="8"/>
        <v>0</v>
      </c>
    </row>
    <row r="43" spans="1:16" ht="15.75">
      <c r="A43" s="124" t="s">
        <v>76</v>
      </c>
      <c r="B43" s="97">
        <v>390.4</v>
      </c>
      <c r="C43" s="100" t="e">
        <f>C44/C42</f>
        <v>#DIV/0!</v>
      </c>
      <c r="D43" s="162"/>
      <c r="E43" s="162"/>
      <c r="F43" s="162"/>
      <c r="G43" s="162"/>
      <c r="H43" s="162"/>
      <c r="I43" s="162"/>
      <c r="J43" s="162"/>
      <c r="K43" s="162"/>
      <c r="L43" s="162"/>
      <c r="M43" s="46"/>
      <c r="N43" s="46"/>
      <c r="O43" s="46"/>
      <c r="P43" s="98" t="e">
        <f t="shared" si="8"/>
        <v>#DIV/0!</v>
      </c>
    </row>
    <row r="44" spans="1:16" ht="15.75">
      <c r="A44" s="101" t="s">
        <v>77</v>
      </c>
      <c r="B44" s="102">
        <v>1200936</v>
      </c>
      <c r="C44" s="102">
        <f>SUM(D44:O44)</f>
        <v>0</v>
      </c>
      <c r="D44" s="31">
        <f>D43*D42</f>
        <v>0</v>
      </c>
      <c r="E44" s="31">
        <f aca="true" t="shared" si="14" ref="E44:K44">E43*E42</f>
        <v>0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>L43*L42</f>
        <v>0</v>
      </c>
      <c r="M44" s="31"/>
      <c r="N44" s="31"/>
      <c r="O44" s="31"/>
      <c r="P44" s="103">
        <f t="shared" si="8"/>
        <v>0</v>
      </c>
    </row>
    <row r="45" spans="1:16" ht="15.75">
      <c r="A45" s="47"/>
      <c r="B45" s="47"/>
      <c r="C45" s="47"/>
      <c r="D45" s="125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</row>
  </sheetData>
  <sheetProtection/>
  <mergeCells count="1">
    <mergeCell ref="A1:P1"/>
  </mergeCells>
  <printOptions horizontalCentered="1"/>
  <pageMargins left="0.25" right="0.25" top="0.7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44" sqref="C44"/>
    </sheetView>
  </sheetViews>
  <sheetFormatPr defaultColWidth="9.00390625" defaultRowHeight="15.75"/>
  <cols>
    <col min="1" max="1" width="20.25390625" style="0" customWidth="1"/>
    <col min="2" max="2" width="8.375" style="0" hidden="1" customWidth="1"/>
    <col min="5" max="5" width="7.50390625" style="0" customWidth="1"/>
    <col min="6" max="6" width="7.625" style="0" customWidth="1"/>
    <col min="7" max="7" width="6.875" style="0" customWidth="1"/>
    <col min="8" max="8" width="7.375" style="0" customWidth="1"/>
    <col min="9" max="9" width="7.00390625" style="0" customWidth="1"/>
    <col min="10" max="11" width="7.125" style="0" customWidth="1"/>
    <col min="12" max="12" width="6.625" style="0" customWidth="1"/>
    <col min="13" max="13" width="6.25390625" style="0" customWidth="1"/>
    <col min="14" max="14" width="7.00390625" style="0" customWidth="1"/>
    <col min="15" max="15" width="6.125" style="0" customWidth="1"/>
    <col min="16" max="16" width="6.25390625" style="0" customWidth="1"/>
    <col min="17" max="17" width="7.00390625" style="0" customWidth="1"/>
    <col min="18" max="18" width="7.625" style="0" hidden="1" customWidth="1"/>
  </cols>
  <sheetData>
    <row r="1" spans="1:17" ht="15.75">
      <c r="A1" s="418" t="s">
        <v>316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</row>
    <row r="2" spans="1:17" ht="15.75">
      <c r="A2" s="1"/>
      <c r="B2" s="1"/>
      <c r="C2" s="1"/>
      <c r="D2" s="2"/>
      <c r="E2" s="36"/>
      <c r="F2" s="36"/>
      <c r="G2" s="36"/>
      <c r="H2" s="36"/>
      <c r="I2" s="36"/>
      <c r="J2" s="36"/>
      <c r="K2" s="36"/>
      <c r="L2" s="36"/>
      <c r="M2" s="36" t="s">
        <v>10</v>
      </c>
      <c r="N2" s="36"/>
      <c r="O2" s="36"/>
      <c r="P2" s="3"/>
      <c r="Q2" s="4"/>
    </row>
    <row r="3" spans="1:18" ht="30" customHeight="1">
      <c r="A3" s="5" t="s">
        <v>66</v>
      </c>
      <c r="B3" s="5" t="s">
        <v>192</v>
      </c>
      <c r="C3" s="6" t="s">
        <v>312</v>
      </c>
      <c r="D3" s="7" t="s">
        <v>313</v>
      </c>
      <c r="E3" s="236" t="s">
        <v>1</v>
      </c>
      <c r="F3" s="230" t="s">
        <v>104</v>
      </c>
      <c r="G3" s="230" t="s">
        <v>108</v>
      </c>
      <c r="H3" s="230" t="s">
        <v>105</v>
      </c>
      <c r="I3" s="230" t="s">
        <v>3</v>
      </c>
      <c r="J3" s="230" t="s">
        <v>106</v>
      </c>
      <c r="K3" s="230" t="s">
        <v>107</v>
      </c>
      <c r="L3" s="230" t="s">
        <v>4</v>
      </c>
      <c r="M3" s="230" t="s">
        <v>115</v>
      </c>
      <c r="N3" s="230" t="s">
        <v>117</v>
      </c>
      <c r="O3" s="230" t="s">
        <v>7</v>
      </c>
      <c r="P3" s="230" t="s">
        <v>118</v>
      </c>
      <c r="Q3" s="389" t="s">
        <v>67</v>
      </c>
      <c r="R3" s="8" t="s">
        <v>193</v>
      </c>
    </row>
    <row r="4" spans="1:17" ht="15.75">
      <c r="A4" s="9" t="s">
        <v>68</v>
      </c>
      <c r="B4" s="92"/>
      <c r="C4" s="92"/>
      <c r="D4" s="10"/>
      <c r="E4" s="11"/>
      <c r="F4" s="9"/>
      <c r="G4" s="9"/>
      <c r="H4" s="9"/>
      <c r="I4" s="12"/>
      <c r="J4" s="9"/>
      <c r="K4" s="9"/>
      <c r="L4" s="9"/>
      <c r="M4" s="9"/>
      <c r="N4" s="9"/>
      <c r="O4" s="9"/>
      <c r="P4" s="9"/>
      <c r="Q4" s="9"/>
    </row>
    <row r="5" spans="1:18" ht="15.75">
      <c r="A5" s="14" t="s">
        <v>11</v>
      </c>
      <c r="B5" s="91">
        <f>B11+B16+B21+B26+B31+B36+B41</f>
        <v>31425.61</v>
      </c>
      <c r="C5" s="55">
        <f>C9</f>
        <v>42074</v>
      </c>
      <c r="D5" s="15">
        <f aca="true" t="shared" si="0" ref="D5:D12">SUM(E5:P5)</f>
        <v>0</v>
      </c>
      <c r="E5" s="16">
        <f aca="true" t="shared" si="1" ref="E5:P5">E9</f>
        <v>0</v>
      </c>
      <c r="F5" s="16">
        <f t="shared" si="1"/>
        <v>0</v>
      </c>
      <c r="G5" s="16">
        <f t="shared" si="1"/>
        <v>0</v>
      </c>
      <c r="H5" s="16">
        <f t="shared" si="1"/>
        <v>0</v>
      </c>
      <c r="I5" s="16">
        <f t="shared" si="1"/>
        <v>0</v>
      </c>
      <c r="J5" s="16">
        <f t="shared" si="1"/>
        <v>0</v>
      </c>
      <c r="K5" s="16">
        <f t="shared" si="1"/>
        <v>0</v>
      </c>
      <c r="L5" s="16">
        <f t="shared" si="1"/>
        <v>0</v>
      </c>
      <c r="M5" s="16">
        <f t="shared" si="1"/>
        <v>0</v>
      </c>
      <c r="N5" s="16">
        <f t="shared" si="1"/>
        <v>0</v>
      </c>
      <c r="O5" s="16">
        <f t="shared" si="1"/>
        <v>0</v>
      </c>
      <c r="P5" s="16">
        <f t="shared" si="1"/>
        <v>0</v>
      </c>
      <c r="Q5" s="16">
        <f>Q9</f>
        <v>0</v>
      </c>
      <c r="R5" s="93">
        <f>D5/B5*100</f>
        <v>0</v>
      </c>
    </row>
    <row r="6" spans="1:18" ht="15.75">
      <c r="A6" s="14" t="s">
        <v>12</v>
      </c>
      <c r="B6" s="14"/>
      <c r="C6" s="55">
        <f>C7+C8</f>
        <v>76900.3</v>
      </c>
      <c r="D6" s="15">
        <f t="shared" si="0"/>
        <v>0</v>
      </c>
      <c r="E6" s="16">
        <f aca="true" t="shared" si="2" ref="E6:P6">E7+E8</f>
        <v>0</v>
      </c>
      <c r="F6" s="16">
        <f t="shared" si="2"/>
        <v>0</v>
      </c>
      <c r="G6" s="16">
        <f t="shared" si="2"/>
        <v>0</v>
      </c>
      <c r="H6" s="16">
        <f t="shared" si="2"/>
        <v>0</v>
      </c>
      <c r="I6" s="16">
        <f t="shared" si="2"/>
        <v>0</v>
      </c>
      <c r="J6" s="16">
        <f t="shared" si="2"/>
        <v>0</v>
      </c>
      <c r="K6" s="16">
        <f t="shared" si="2"/>
        <v>0</v>
      </c>
      <c r="L6" s="16">
        <f t="shared" si="2"/>
        <v>0</v>
      </c>
      <c r="M6" s="16">
        <f t="shared" si="2"/>
        <v>0</v>
      </c>
      <c r="N6" s="16">
        <f t="shared" si="2"/>
        <v>0</v>
      </c>
      <c r="O6" s="16">
        <f t="shared" si="2"/>
        <v>0</v>
      </c>
      <c r="P6" s="16">
        <f t="shared" si="2"/>
        <v>0</v>
      </c>
      <c r="Q6" s="16">
        <f>Q7+Q8</f>
        <v>0</v>
      </c>
      <c r="R6" s="93" t="e">
        <f aca="true" t="shared" si="3" ref="R6:R19">D6/B6*100</f>
        <v>#DIV/0!</v>
      </c>
    </row>
    <row r="7" spans="1:18" ht="15.75">
      <c r="A7" s="14" t="s">
        <v>69</v>
      </c>
      <c r="B7" s="14"/>
      <c r="C7" s="55">
        <f>C14</f>
        <v>65952</v>
      </c>
      <c r="D7" s="15">
        <f t="shared" si="0"/>
        <v>0</v>
      </c>
      <c r="E7" s="16">
        <f aca="true" t="shared" si="4" ref="E7:P7">E14</f>
        <v>0</v>
      </c>
      <c r="F7" s="16">
        <f t="shared" si="4"/>
        <v>0</v>
      </c>
      <c r="G7" s="16">
        <f t="shared" si="4"/>
        <v>0</v>
      </c>
      <c r="H7" s="16">
        <f t="shared" si="4"/>
        <v>0</v>
      </c>
      <c r="I7" s="16">
        <f t="shared" si="4"/>
        <v>0</v>
      </c>
      <c r="J7" s="16">
        <f t="shared" si="4"/>
        <v>0</v>
      </c>
      <c r="K7" s="16">
        <f t="shared" si="4"/>
        <v>0</v>
      </c>
      <c r="L7" s="16">
        <f t="shared" si="4"/>
        <v>0</v>
      </c>
      <c r="M7" s="16">
        <f t="shared" si="4"/>
        <v>0</v>
      </c>
      <c r="N7" s="16">
        <f t="shared" si="4"/>
        <v>0</v>
      </c>
      <c r="O7" s="16">
        <f t="shared" si="4"/>
        <v>0</v>
      </c>
      <c r="P7" s="16">
        <f t="shared" si="4"/>
        <v>0</v>
      </c>
      <c r="Q7" s="16">
        <f>Q14</f>
        <v>0</v>
      </c>
      <c r="R7" s="93" t="e">
        <f t="shared" si="3"/>
        <v>#DIV/0!</v>
      </c>
    </row>
    <row r="8" spans="1:18" ht="15.75">
      <c r="A8" s="14" t="s">
        <v>70</v>
      </c>
      <c r="B8" s="14"/>
      <c r="C8" s="55">
        <f>C19</f>
        <v>10948.3</v>
      </c>
      <c r="D8" s="15">
        <f t="shared" si="0"/>
        <v>0</v>
      </c>
      <c r="E8" s="16">
        <f aca="true" t="shared" si="5" ref="E8:P8">E19</f>
        <v>0</v>
      </c>
      <c r="F8" s="16">
        <f t="shared" si="5"/>
        <v>0</v>
      </c>
      <c r="G8" s="16">
        <f t="shared" si="5"/>
        <v>0</v>
      </c>
      <c r="H8" s="16">
        <f t="shared" si="5"/>
        <v>0</v>
      </c>
      <c r="I8" s="16">
        <f t="shared" si="5"/>
        <v>0</v>
      </c>
      <c r="J8" s="16">
        <f t="shared" si="5"/>
        <v>0</v>
      </c>
      <c r="K8" s="16">
        <f t="shared" si="5"/>
        <v>0</v>
      </c>
      <c r="L8" s="16">
        <f t="shared" si="5"/>
        <v>0</v>
      </c>
      <c r="M8" s="16">
        <f t="shared" si="5"/>
        <v>0</v>
      </c>
      <c r="N8" s="16">
        <f t="shared" si="5"/>
        <v>0</v>
      </c>
      <c r="O8" s="16">
        <f t="shared" si="5"/>
        <v>0</v>
      </c>
      <c r="P8" s="16">
        <f t="shared" si="5"/>
        <v>0</v>
      </c>
      <c r="Q8" s="16">
        <f>Q19</f>
        <v>0</v>
      </c>
      <c r="R8" s="93" t="e">
        <f t="shared" si="3"/>
        <v>#DIV/0!</v>
      </c>
    </row>
    <row r="9" spans="1:18" ht="15.75">
      <c r="A9" s="14" t="s">
        <v>15</v>
      </c>
      <c r="B9" s="14"/>
      <c r="C9" s="55">
        <f>C11+C16+C21+C26+C31+C36+C41</f>
        <v>42074</v>
      </c>
      <c r="D9" s="15">
        <f t="shared" si="0"/>
        <v>0</v>
      </c>
      <c r="E9" s="16">
        <f aca="true" t="shared" si="6" ref="E9:P9">E11+E16+E21+E26+E31+E36+E41</f>
        <v>0</v>
      </c>
      <c r="F9" s="16">
        <f t="shared" si="6"/>
        <v>0</v>
      </c>
      <c r="G9" s="16">
        <f t="shared" si="6"/>
        <v>0</v>
      </c>
      <c r="H9" s="16">
        <f t="shared" si="6"/>
        <v>0</v>
      </c>
      <c r="I9" s="16">
        <f t="shared" si="6"/>
        <v>0</v>
      </c>
      <c r="J9" s="16">
        <f t="shared" si="6"/>
        <v>0</v>
      </c>
      <c r="K9" s="16">
        <f t="shared" si="6"/>
        <v>0</v>
      </c>
      <c r="L9" s="16">
        <f t="shared" si="6"/>
        <v>0</v>
      </c>
      <c r="M9" s="16">
        <f t="shared" si="6"/>
        <v>0</v>
      </c>
      <c r="N9" s="16">
        <f t="shared" si="6"/>
        <v>0</v>
      </c>
      <c r="O9" s="16">
        <f t="shared" si="6"/>
        <v>0</v>
      </c>
      <c r="P9" s="16">
        <f t="shared" si="6"/>
        <v>0</v>
      </c>
      <c r="Q9" s="22">
        <f>D9/C9*100</f>
        <v>0</v>
      </c>
      <c r="R9" s="93" t="e">
        <f t="shared" si="3"/>
        <v>#DIV/0!</v>
      </c>
    </row>
    <row r="10" spans="1:18" ht="15.75">
      <c r="A10" s="18" t="s">
        <v>252</v>
      </c>
      <c r="B10" s="18"/>
      <c r="C10" s="56">
        <f>SUM(E10:P10)</f>
        <v>12302</v>
      </c>
      <c r="D10" s="19"/>
      <c r="E10" s="388">
        <v>2</v>
      </c>
      <c r="F10" s="388"/>
      <c r="G10" s="388">
        <v>1017</v>
      </c>
      <c r="H10" s="388">
        <v>76</v>
      </c>
      <c r="I10" s="388">
        <v>980</v>
      </c>
      <c r="J10" s="388">
        <v>1877</v>
      </c>
      <c r="K10" s="388">
        <v>2650</v>
      </c>
      <c r="L10" s="388">
        <v>2037</v>
      </c>
      <c r="M10" s="388"/>
      <c r="N10" s="388">
        <v>73</v>
      </c>
      <c r="O10" s="388">
        <v>2170</v>
      </c>
      <c r="P10" s="388">
        <v>1420</v>
      </c>
      <c r="Q10" s="19"/>
      <c r="R10" s="93" t="e">
        <f t="shared" si="3"/>
        <v>#DIV/0!</v>
      </c>
    </row>
    <row r="11" spans="1:18" ht="15.75">
      <c r="A11" s="21" t="s">
        <v>176</v>
      </c>
      <c r="B11" s="110">
        <v>13591.74</v>
      </c>
      <c r="C11" s="57">
        <f>C10</f>
        <v>12302</v>
      </c>
      <c r="D11" s="22">
        <f t="shared" si="0"/>
        <v>0</v>
      </c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2">
        <f>D11/C11*100</f>
        <v>0</v>
      </c>
      <c r="R11" s="93">
        <f t="shared" si="3"/>
        <v>0</v>
      </c>
    </row>
    <row r="12" spans="1:18" ht="15.75">
      <c r="A12" s="99" t="s">
        <v>78</v>
      </c>
      <c r="B12" s="89">
        <v>340</v>
      </c>
      <c r="C12" s="58">
        <f>C11</f>
        <v>12302</v>
      </c>
      <c r="D12" s="26">
        <f t="shared" si="0"/>
        <v>0</v>
      </c>
      <c r="E12" s="46"/>
      <c r="F12" s="363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97">
        <f aca="true" t="shared" si="7" ref="Q12:Q44">D12/C12*100</f>
        <v>0</v>
      </c>
      <c r="R12" s="93">
        <f t="shared" si="3"/>
        <v>0</v>
      </c>
    </row>
    <row r="13" spans="1:18" ht="15.75">
      <c r="A13" s="99" t="s">
        <v>79</v>
      </c>
      <c r="B13" s="89">
        <v>47</v>
      </c>
      <c r="C13" s="58">
        <v>53.6</v>
      </c>
      <c r="D13" s="26" t="e">
        <f>D14/D12*10</f>
        <v>#DIV/0!</v>
      </c>
      <c r="E13" s="218"/>
      <c r="F13" s="363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6" t="e">
        <f t="shared" si="7"/>
        <v>#DIV/0!</v>
      </c>
      <c r="R13" s="93" t="e">
        <f t="shared" si="3"/>
        <v>#DIV/0!</v>
      </c>
    </row>
    <row r="14" spans="1:18" ht="15.75">
      <c r="A14" s="99" t="s">
        <v>80</v>
      </c>
      <c r="B14" s="89">
        <v>1598</v>
      </c>
      <c r="C14" s="58">
        <v>65952</v>
      </c>
      <c r="D14" s="26">
        <f>SUM(E14:P14)</f>
        <v>0</v>
      </c>
      <c r="E14" s="26">
        <f aca="true" t="shared" si="8" ref="E14:P14">E12*E13/10</f>
        <v>0</v>
      </c>
      <c r="F14" s="26">
        <f t="shared" si="8"/>
        <v>0</v>
      </c>
      <c r="G14" s="26">
        <f t="shared" si="8"/>
        <v>0</v>
      </c>
      <c r="H14" s="26">
        <f t="shared" si="8"/>
        <v>0</v>
      </c>
      <c r="I14" s="26">
        <f t="shared" si="8"/>
        <v>0</v>
      </c>
      <c r="J14" s="26">
        <f t="shared" si="8"/>
        <v>0</v>
      </c>
      <c r="K14" s="26">
        <f t="shared" si="8"/>
        <v>0</v>
      </c>
      <c r="L14" s="26">
        <f t="shared" si="8"/>
        <v>0</v>
      </c>
      <c r="M14" s="26">
        <f t="shared" si="8"/>
        <v>0</v>
      </c>
      <c r="N14" s="26">
        <f t="shared" si="8"/>
        <v>0</v>
      </c>
      <c r="O14" s="26">
        <f t="shared" si="8"/>
        <v>0</v>
      </c>
      <c r="P14" s="26">
        <f t="shared" si="8"/>
        <v>0</v>
      </c>
      <c r="Q14" s="26">
        <f t="shared" si="7"/>
        <v>0</v>
      </c>
      <c r="R14" s="93">
        <f t="shared" si="3"/>
        <v>0</v>
      </c>
    </row>
    <row r="15" spans="1:18" ht="15.75">
      <c r="A15" s="18" t="s">
        <v>250</v>
      </c>
      <c r="B15" s="18"/>
      <c r="C15" s="56">
        <f>SUM(E15:P15)</f>
        <v>2014</v>
      </c>
      <c r="D15" s="19"/>
      <c r="E15" s="388">
        <v>13</v>
      </c>
      <c r="F15" s="388"/>
      <c r="G15" s="388">
        <v>630</v>
      </c>
      <c r="H15" s="388">
        <v>90</v>
      </c>
      <c r="I15" s="388">
        <v>300</v>
      </c>
      <c r="J15" s="388">
        <v>250</v>
      </c>
      <c r="K15" s="388">
        <v>180</v>
      </c>
      <c r="L15" s="388">
        <v>250</v>
      </c>
      <c r="M15" s="388">
        <v>20</v>
      </c>
      <c r="N15" s="388">
        <v>18</v>
      </c>
      <c r="O15" s="388">
        <v>160</v>
      </c>
      <c r="P15" s="388">
        <v>103</v>
      </c>
      <c r="Q15" s="19"/>
      <c r="R15" s="93" t="e">
        <f t="shared" si="3"/>
        <v>#DIV/0!</v>
      </c>
    </row>
    <row r="16" spans="1:18" ht="15.75">
      <c r="A16" s="21" t="s">
        <v>170</v>
      </c>
      <c r="B16" s="110">
        <v>2905.4</v>
      </c>
      <c r="C16" s="57">
        <f>C15</f>
        <v>2014</v>
      </c>
      <c r="D16" s="22">
        <f>SUM(E16:P16)</f>
        <v>0</v>
      </c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22">
        <f t="shared" si="7"/>
        <v>0</v>
      </c>
      <c r="R16" s="93">
        <f t="shared" si="3"/>
        <v>0</v>
      </c>
    </row>
    <row r="17" spans="1:18" ht="15.75">
      <c r="A17" s="99" t="s">
        <v>78</v>
      </c>
      <c r="B17" s="89">
        <v>82.4</v>
      </c>
      <c r="C17" s="58">
        <f>C16</f>
        <v>2014</v>
      </c>
      <c r="D17" s="26">
        <f>SUM(E17:P17)</f>
        <v>0</v>
      </c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97">
        <f t="shared" si="7"/>
        <v>0</v>
      </c>
      <c r="R17" s="93">
        <f t="shared" si="3"/>
        <v>0</v>
      </c>
    </row>
    <row r="18" spans="1:18" ht="15.75">
      <c r="A18" s="99" t="s">
        <v>79</v>
      </c>
      <c r="B18" s="89">
        <v>41.599999999999994</v>
      </c>
      <c r="C18" s="58">
        <v>54.4</v>
      </c>
      <c r="D18" s="26" t="e">
        <f>D19/D17*10</f>
        <v>#DIV/0!</v>
      </c>
      <c r="E18" s="162"/>
      <c r="F18" s="162"/>
      <c r="G18" s="162"/>
      <c r="H18" s="162"/>
      <c r="I18" s="162"/>
      <c r="J18" s="162"/>
      <c r="K18" s="220"/>
      <c r="L18" s="162"/>
      <c r="M18" s="162"/>
      <c r="N18" s="162"/>
      <c r="O18" s="162"/>
      <c r="P18" s="162"/>
      <c r="Q18" s="97" t="e">
        <f t="shared" si="7"/>
        <v>#DIV/0!</v>
      </c>
      <c r="R18" s="93" t="e">
        <f t="shared" si="3"/>
        <v>#DIV/0!</v>
      </c>
    </row>
    <row r="19" spans="1:18" ht="15.75">
      <c r="A19" s="99" t="s">
        <v>80</v>
      </c>
      <c r="B19" s="89">
        <v>342.784</v>
      </c>
      <c r="C19" s="58">
        <v>10948.3</v>
      </c>
      <c r="D19" s="26">
        <f>SUM(E19:P19)</f>
        <v>0</v>
      </c>
      <c r="E19" s="26">
        <f>E17*E18/10</f>
        <v>0</v>
      </c>
      <c r="F19" s="26">
        <f>F17*F18/10</f>
        <v>0</v>
      </c>
      <c r="G19" s="26">
        <f aca="true" t="shared" si="9" ref="G19:P19">G17*G18/10</f>
        <v>0</v>
      </c>
      <c r="H19" s="26">
        <f t="shared" si="9"/>
        <v>0</v>
      </c>
      <c r="I19" s="26">
        <f t="shared" si="9"/>
        <v>0</v>
      </c>
      <c r="J19" s="26">
        <f t="shared" si="9"/>
        <v>0</v>
      </c>
      <c r="K19" s="26">
        <f t="shared" si="9"/>
        <v>0</v>
      </c>
      <c r="L19" s="26">
        <f t="shared" si="9"/>
        <v>0</v>
      </c>
      <c r="M19" s="26">
        <f t="shared" si="9"/>
        <v>0</v>
      </c>
      <c r="N19" s="26">
        <f t="shared" si="9"/>
        <v>0</v>
      </c>
      <c r="O19" s="26">
        <f t="shared" si="9"/>
        <v>0</v>
      </c>
      <c r="P19" s="26">
        <f t="shared" si="9"/>
        <v>0</v>
      </c>
      <c r="Q19" s="26">
        <f t="shared" si="7"/>
        <v>0</v>
      </c>
      <c r="R19" s="93">
        <f t="shared" si="3"/>
        <v>0</v>
      </c>
    </row>
    <row r="20" spans="1:18" ht="15.75">
      <c r="A20" s="18" t="s">
        <v>253</v>
      </c>
      <c r="B20" s="18"/>
      <c r="C20" s="56">
        <f>SUM(E20:P20)</f>
        <v>855</v>
      </c>
      <c r="D20" s="19"/>
      <c r="E20" s="388">
        <v>39</v>
      </c>
      <c r="F20" s="388"/>
      <c r="G20" s="388">
        <v>10</v>
      </c>
      <c r="H20" s="388">
        <v>50</v>
      </c>
      <c r="I20" s="388">
        <v>60</v>
      </c>
      <c r="J20" s="388">
        <v>250</v>
      </c>
      <c r="K20" s="388">
        <v>370</v>
      </c>
      <c r="L20" s="388"/>
      <c r="M20" s="388"/>
      <c r="N20" s="388"/>
      <c r="O20" s="388">
        <v>20</v>
      </c>
      <c r="P20" s="388">
        <v>56</v>
      </c>
      <c r="Q20" s="97"/>
      <c r="R20" s="93">
        <f>D21/B21*100</f>
        <v>0</v>
      </c>
    </row>
    <row r="21" spans="1:18" ht="15.75">
      <c r="A21" s="21" t="s">
        <v>177</v>
      </c>
      <c r="B21" s="110">
        <v>578.8</v>
      </c>
      <c r="C21" s="57">
        <f>C20</f>
        <v>855</v>
      </c>
      <c r="D21" s="22">
        <f>SUM(E21:P21)</f>
        <v>0</v>
      </c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">
        <f t="shared" si="7"/>
        <v>0</v>
      </c>
      <c r="R21" s="93">
        <f>D22/B22*100</f>
        <v>0</v>
      </c>
    </row>
    <row r="22" spans="1:18" ht="15.75">
      <c r="A22" s="99" t="s">
        <v>78</v>
      </c>
      <c r="B22" s="89">
        <v>57.7</v>
      </c>
      <c r="C22" s="58">
        <f>C21</f>
        <v>855</v>
      </c>
      <c r="D22" s="26">
        <f>SUM(E22:P22)</f>
        <v>0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26">
        <f t="shared" si="7"/>
        <v>0</v>
      </c>
      <c r="R22" s="93" t="e">
        <f>D23/B23*100</f>
        <v>#DIV/0!</v>
      </c>
    </row>
    <row r="23" spans="1:18" ht="15.75">
      <c r="A23" s="25" t="s">
        <v>79</v>
      </c>
      <c r="B23" s="110">
        <v>118.50000000000001</v>
      </c>
      <c r="C23" s="111">
        <v>228.3</v>
      </c>
      <c r="D23" s="97" t="e">
        <f>D24/D22*10</f>
        <v>#DIV/0!</v>
      </c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97" t="e">
        <f t="shared" si="7"/>
        <v>#DIV/0!</v>
      </c>
      <c r="R23" s="93">
        <f>D24/B24*100</f>
        <v>0</v>
      </c>
    </row>
    <row r="24" spans="1:18" ht="15.75">
      <c r="A24" s="99" t="s">
        <v>80</v>
      </c>
      <c r="B24" s="89">
        <v>683.7450000000001</v>
      </c>
      <c r="C24" s="58">
        <v>19522.7</v>
      </c>
      <c r="D24" s="26">
        <f>SUM(E24:P24)</f>
        <v>0</v>
      </c>
      <c r="E24" s="26">
        <f>E23*E22/10</f>
        <v>0</v>
      </c>
      <c r="F24" s="26">
        <f>F23*F22/10</f>
        <v>0</v>
      </c>
      <c r="G24" s="26">
        <f aca="true" t="shared" si="10" ref="G24:P24">G23*G22/10</f>
        <v>0</v>
      </c>
      <c r="H24" s="26">
        <f t="shared" si="10"/>
        <v>0</v>
      </c>
      <c r="I24" s="26">
        <f t="shared" si="10"/>
        <v>0</v>
      </c>
      <c r="J24" s="26">
        <f t="shared" si="10"/>
        <v>0</v>
      </c>
      <c r="K24" s="26">
        <f t="shared" si="10"/>
        <v>0</v>
      </c>
      <c r="L24" s="26">
        <f t="shared" si="10"/>
        <v>0</v>
      </c>
      <c r="M24" s="26">
        <f t="shared" si="10"/>
        <v>0</v>
      </c>
      <c r="N24" s="26">
        <f t="shared" si="10"/>
        <v>0</v>
      </c>
      <c r="O24" s="26">
        <f t="shared" si="10"/>
        <v>0</v>
      </c>
      <c r="P24" s="26">
        <f t="shared" si="10"/>
        <v>0</v>
      </c>
      <c r="Q24" s="26">
        <f t="shared" si="7"/>
        <v>0</v>
      </c>
      <c r="R24" s="93">
        <f>D26/B26*100</f>
        <v>0</v>
      </c>
    </row>
    <row r="25" spans="1:18" ht="15.75">
      <c r="A25" s="18" t="s">
        <v>248</v>
      </c>
      <c r="B25" s="18"/>
      <c r="C25" s="56">
        <f>SUM(E25:P25)</f>
        <v>0</v>
      </c>
      <c r="D25" s="26">
        <f>SUM(E25:P25)</f>
        <v>0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97"/>
      <c r="R25" s="93">
        <f>D27/B27*100</f>
        <v>0</v>
      </c>
    </row>
    <row r="26" spans="1:18" ht="15.75">
      <c r="A26" s="21" t="s">
        <v>180</v>
      </c>
      <c r="B26" s="110">
        <v>385</v>
      </c>
      <c r="C26" s="57">
        <v>0</v>
      </c>
      <c r="D26" s="22">
        <f>SUM(E26:P26)</f>
        <v>0</v>
      </c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22" t="e">
        <f t="shared" si="7"/>
        <v>#DIV/0!</v>
      </c>
      <c r="R26" s="93" t="e">
        <f>D28/B28*100</f>
        <v>#DIV/0!</v>
      </c>
    </row>
    <row r="27" spans="1:18" ht="15.75">
      <c r="A27" s="99" t="s">
        <v>78</v>
      </c>
      <c r="B27" s="89">
        <v>385</v>
      </c>
      <c r="C27" s="58">
        <f>C26</f>
        <v>0</v>
      </c>
      <c r="D27" s="26">
        <f>SUM(E27:P27)</f>
        <v>0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 t="e">
        <f t="shared" si="7"/>
        <v>#DIV/0!</v>
      </c>
      <c r="R27" s="93">
        <f>D29/B29*100</f>
        <v>0</v>
      </c>
    </row>
    <row r="28" spans="1:18" ht="15.75">
      <c r="A28" s="25" t="s">
        <v>79</v>
      </c>
      <c r="B28" s="110">
        <v>12.36</v>
      </c>
      <c r="C28" s="111"/>
      <c r="D28" s="97" t="e">
        <f>D29/D27*10</f>
        <v>#DIV/0!</v>
      </c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97" t="e">
        <f t="shared" si="7"/>
        <v>#DIV/0!</v>
      </c>
      <c r="R28" s="93">
        <f>D31/B31*100</f>
        <v>0</v>
      </c>
    </row>
    <row r="29" spans="1:18" ht="15.75">
      <c r="A29" s="99" t="s">
        <v>80</v>
      </c>
      <c r="B29" s="89">
        <v>475.75</v>
      </c>
      <c r="C29" s="58"/>
      <c r="D29" s="26">
        <f>SUM(E29:P29)</f>
        <v>0</v>
      </c>
      <c r="E29" s="26">
        <f>E28*E27/10</f>
        <v>0</v>
      </c>
      <c r="F29" s="26">
        <f>F28*F27/10</f>
        <v>0</v>
      </c>
      <c r="G29" s="26">
        <f aca="true" t="shared" si="11" ref="G29:P29">G28*G27/10</f>
        <v>0</v>
      </c>
      <c r="H29" s="26">
        <f t="shared" si="11"/>
        <v>0</v>
      </c>
      <c r="I29" s="26">
        <f t="shared" si="11"/>
        <v>0</v>
      </c>
      <c r="J29" s="26">
        <f t="shared" si="11"/>
        <v>0</v>
      </c>
      <c r="K29" s="26">
        <f t="shared" si="11"/>
        <v>0</v>
      </c>
      <c r="L29" s="26">
        <f t="shared" si="11"/>
        <v>0</v>
      </c>
      <c r="M29" s="26">
        <f t="shared" si="11"/>
        <v>0</v>
      </c>
      <c r="N29" s="26">
        <f t="shared" si="11"/>
        <v>0</v>
      </c>
      <c r="O29" s="26">
        <f t="shared" si="11"/>
        <v>0</v>
      </c>
      <c r="P29" s="26">
        <f t="shared" si="11"/>
        <v>0</v>
      </c>
      <c r="Q29" s="26" t="e">
        <f t="shared" si="7"/>
        <v>#DIV/0!</v>
      </c>
      <c r="R29" s="93">
        <f>D32/B32*100</f>
        <v>0</v>
      </c>
    </row>
    <row r="30" spans="1:18" ht="15.75">
      <c r="A30" s="18" t="s">
        <v>246</v>
      </c>
      <c r="B30" s="18"/>
      <c r="C30" s="56">
        <f>SUM(E30:P30)</f>
        <v>260</v>
      </c>
      <c r="D30" s="19"/>
      <c r="E30" s="388">
        <v>19</v>
      </c>
      <c r="F30" s="388"/>
      <c r="G30" s="388">
        <v>35</v>
      </c>
      <c r="H30" s="388">
        <v>40</v>
      </c>
      <c r="I30" s="388">
        <v>45</v>
      </c>
      <c r="J30" s="388">
        <v>20</v>
      </c>
      <c r="K30" s="388">
        <v>20</v>
      </c>
      <c r="L30" s="388">
        <v>30</v>
      </c>
      <c r="M30" s="388">
        <v>23</v>
      </c>
      <c r="N30" s="388">
        <v>8</v>
      </c>
      <c r="O30" s="388">
        <v>10</v>
      </c>
      <c r="P30" s="388">
        <v>10</v>
      </c>
      <c r="Q30" s="97"/>
      <c r="R30" s="93" t="e">
        <f>D33/B33*100</f>
        <v>#DIV/0!</v>
      </c>
    </row>
    <row r="31" spans="1:18" ht="15.75">
      <c r="A31" s="21" t="s">
        <v>179</v>
      </c>
      <c r="B31" s="110">
        <v>483.05</v>
      </c>
      <c r="C31" s="57">
        <f>C30</f>
        <v>260</v>
      </c>
      <c r="D31" s="22">
        <f>SUM(E31:P31)</f>
        <v>0</v>
      </c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">
        <f t="shared" si="7"/>
        <v>0</v>
      </c>
      <c r="R31" s="93">
        <f>D34/B34*100</f>
        <v>0</v>
      </c>
    </row>
    <row r="32" spans="1:18" ht="15.75">
      <c r="A32" s="99" t="s">
        <v>78</v>
      </c>
      <c r="B32" s="89">
        <v>28.3</v>
      </c>
      <c r="C32" s="58">
        <f>C31</f>
        <v>260</v>
      </c>
      <c r="D32" s="26">
        <f>SUM(E32:P32)</f>
        <v>0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>
        <f t="shared" si="7"/>
        <v>0</v>
      </c>
      <c r="R32" s="93">
        <f>D36/B36*100</f>
        <v>0</v>
      </c>
    </row>
    <row r="33" spans="1:18" ht="15.75">
      <c r="A33" s="25" t="s">
        <v>79</v>
      </c>
      <c r="B33" s="110">
        <v>11.500000000000002</v>
      </c>
      <c r="C33" s="111">
        <v>13.5</v>
      </c>
      <c r="D33" s="97" t="e">
        <f>D34/D32*10</f>
        <v>#DIV/0!</v>
      </c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97" t="e">
        <f t="shared" si="7"/>
        <v>#DIV/0!</v>
      </c>
      <c r="R33" s="93">
        <f>D37/B37*100</f>
        <v>0</v>
      </c>
    </row>
    <row r="34" spans="1:18" ht="15.75">
      <c r="A34" s="99" t="s">
        <v>80</v>
      </c>
      <c r="B34" s="89">
        <v>32.55</v>
      </c>
      <c r="C34" s="58">
        <v>350.5</v>
      </c>
      <c r="D34" s="26">
        <f>SUM(E34:P34)</f>
        <v>0</v>
      </c>
      <c r="E34" s="26">
        <f aca="true" t="shared" si="12" ref="E34:P34">E33*E32/10</f>
        <v>0</v>
      </c>
      <c r="F34" s="26">
        <f t="shared" si="12"/>
        <v>0</v>
      </c>
      <c r="G34" s="26">
        <f t="shared" si="12"/>
        <v>0</v>
      </c>
      <c r="H34" s="26">
        <f t="shared" si="12"/>
        <v>0</v>
      </c>
      <c r="I34" s="26">
        <f t="shared" si="12"/>
        <v>0</v>
      </c>
      <c r="J34" s="26">
        <f t="shared" si="12"/>
        <v>0</v>
      </c>
      <c r="K34" s="26">
        <f t="shared" si="12"/>
        <v>0</v>
      </c>
      <c r="L34" s="26">
        <f t="shared" si="12"/>
        <v>0</v>
      </c>
      <c r="M34" s="26">
        <f t="shared" si="12"/>
        <v>0</v>
      </c>
      <c r="N34" s="26">
        <f t="shared" si="12"/>
        <v>0</v>
      </c>
      <c r="O34" s="26">
        <f t="shared" si="12"/>
        <v>0</v>
      </c>
      <c r="P34" s="26">
        <f t="shared" si="12"/>
        <v>0</v>
      </c>
      <c r="Q34" s="26">
        <f t="shared" si="7"/>
        <v>0</v>
      </c>
      <c r="R34" s="93" t="e">
        <f>D38/B38*100</f>
        <v>#DIV/0!</v>
      </c>
    </row>
    <row r="35" spans="1:18" ht="15.75">
      <c r="A35" s="18" t="s">
        <v>249</v>
      </c>
      <c r="B35" s="18"/>
      <c r="C35" s="56">
        <f>SUM(E35:P35)</f>
        <v>23455</v>
      </c>
      <c r="D35" s="19"/>
      <c r="E35" s="390">
        <v>3226</v>
      </c>
      <c r="F35" s="390">
        <v>67</v>
      </c>
      <c r="G35" s="390">
        <v>160</v>
      </c>
      <c r="H35" s="390">
        <v>2200</v>
      </c>
      <c r="I35" s="390">
        <v>700</v>
      </c>
      <c r="J35" s="390">
        <v>7750</v>
      </c>
      <c r="K35" s="390">
        <v>8780</v>
      </c>
      <c r="L35" s="390">
        <v>390</v>
      </c>
      <c r="M35" s="390">
        <v>27</v>
      </c>
      <c r="N35" s="390">
        <v>15</v>
      </c>
      <c r="O35" s="390">
        <v>50</v>
      </c>
      <c r="P35" s="390">
        <v>90</v>
      </c>
      <c r="Q35" s="97"/>
      <c r="R35" s="93">
        <f>D39/B39*100</f>
        <v>0</v>
      </c>
    </row>
    <row r="36" spans="1:18" ht="15.75">
      <c r="A36" s="21" t="s">
        <v>174</v>
      </c>
      <c r="B36" s="88">
        <v>12133.62</v>
      </c>
      <c r="C36" s="57">
        <f>C35</f>
        <v>23455</v>
      </c>
      <c r="D36" s="22">
        <f>SUM(E36:P36)</f>
        <v>0</v>
      </c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">
        <f t="shared" si="7"/>
        <v>0</v>
      </c>
      <c r="R36" s="93">
        <f>D41/B41*100</f>
        <v>0</v>
      </c>
    </row>
    <row r="37" spans="1:18" ht="15.75">
      <c r="A37" s="99" t="s">
        <v>78</v>
      </c>
      <c r="B37" s="89">
        <v>323.6</v>
      </c>
      <c r="C37" s="58">
        <f>C36</f>
        <v>23455</v>
      </c>
      <c r="D37" s="26">
        <f>SUM(E37:P37)</f>
        <v>0</v>
      </c>
      <c r="E37" s="46"/>
      <c r="F37" s="46"/>
      <c r="G37" s="46"/>
      <c r="H37" s="46"/>
      <c r="I37" s="46"/>
      <c r="J37" s="46"/>
      <c r="K37" s="46"/>
      <c r="L37" s="46"/>
      <c r="M37" s="162"/>
      <c r="N37" s="162"/>
      <c r="O37" s="162"/>
      <c r="P37" s="162"/>
      <c r="Q37" s="26">
        <f t="shared" si="7"/>
        <v>0</v>
      </c>
      <c r="R37" s="93" t="e">
        <f>D42/B42*100</f>
        <v>#DIV/0!</v>
      </c>
    </row>
    <row r="38" spans="1:18" ht="15.75">
      <c r="A38" s="99" t="s">
        <v>79</v>
      </c>
      <c r="B38" s="110">
        <v>171</v>
      </c>
      <c r="C38" s="111">
        <v>396.2</v>
      </c>
      <c r="D38" s="97" t="e">
        <f>D39/D37*10</f>
        <v>#DIV/0!</v>
      </c>
      <c r="E38" s="162"/>
      <c r="F38" s="162"/>
      <c r="G38" s="162"/>
      <c r="H38" s="162"/>
      <c r="I38" s="162"/>
      <c r="J38" s="162"/>
      <c r="K38" s="364"/>
      <c r="L38" s="162"/>
      <c r="M38" s="162"/>
      <c r="N38" s="162"/>
      <c r="O38" s="162"/>
      <c r="P38" s="162"/>
      <c r="Q38" s="97" t="e">
        <f t="shared" si="7"/>
        <v>#DIV/0!</v>
      </c>
      <c r="R38" s="93" t="e">
        <f>D43/B43*100</f>
        <v>#DIV/0!</v>
      </c>
    </row>
    <row r="39" spans="1:18" ht="15.75">
      <c r="A39" s="99" t="s">
        <v>80</v>
      </c>
      <c r="B39" s="89">
        <v>5533.56</v>
      </c>
      <c r="C39" s="58">
        <v>929402.6</v>
      </c>
      <c r="D39" s="26">
        <f>SUM(E39:P39)</f>
        <v>0</v>
      </c>
      <c r="E39" s="26">
        <f>E38*E37/10</f>
        <v>0</v>
      </c>
      <c r="F39" s="26">
        <f>F38*F37/10</f>
        <v>0</v>
      </c>
      <c r="G39" s="26">
        <f aca="true" t="shared" si="13" ref="G39:P39">G38*G37/10</f>
        <v>0</v>
      </c>
      <c r="H39" s="26">
        <f t="shared" si="13"/>
        <v>0</v>
      </c>
      <c r="I39" s="26">
        <f t="shared" si="13"/>
        <v>0</v>
      </c>
      <c r="J39" s="26">
        <f t="shared" si="13"/>
        <v>0</v>
      </c>
      <c r="K39" s="26">
        <f t="shared" si="13"/>
        <v>0</v>
      </c>
      <c r="L39" s="26">
        <f t="shared" si="13"/>
        <v>0</v>
      </c>
      <c r="M39" s="26">
        <f t="shared" si="13"/>
        <v>0</v>
      </c>
      <c r="N39" s="26">
        <f t="shared" si="13"/>
        <v>0</v>
      </c>
      <c r="O39" s="26">
        <f t="shared" si="13"/>
        <v>0</v>
      </c>
      <c r="P39" s="26">
        <f t="shared" si="13"/>
        <v>0</v>
      </c>
      <c r="Q39" s="26">
        <f t="shared" si="7"/>
        <v>0</v>
      </c>
      <c r="R39" s="93" t="e">
        <f>D44/B44*100</f>
        <v>#DIV/0!</v>
      </c>
    </row>
    <row r="40" spans="1:17" ht="15.75">
      <c r="A40" s="18" t="s">
        <v>247</v>
      </c>
      <c r="B40" s="18"/>
      <c r="C40" s="56">
        <f>SUM(E40:P40)</f>
        <v>3188</v>
      </c>
      <c r="D40" s="19"/>
      <c r="E40" s="390">
        <v>2081</v>
      </c>
      <c r="F40" s="388">
        <v>15</v>
      </c>
      <c r="G40" s="390">
        <v>8</v>
      </c>
      <c r="H40" s="390">
        <v>530</v>
      </c>
      <c r="I40" s="390">
        <v>140</v>
      </c>
      <c r="J40" s="390">
        <v>280</v>
      </c>
      <c r="K40" s="390">
        <v>110</v>
      </c>
      <c r="L40" s="390">
        <v>14</v>
      </c>
      <c r="M40" s="390">
        <v>10</v>
      </c>
      <c r="N40" s="390"/>
      <c r="O40" s="390"/>
      <c r="P40" s="390"/>
      <c r="Q40" s="97"/>
    </row>
    <row r="41" spans="1:17" ht="15.75">
      <c r="A41" s="21" t="s">
        <v>178</v>
      </c>
      <c r="B41" s="88">
        <v>1348</v>
      </c>
      <c r="C41" s="57">
        <f>C40</f>
        <v>3188</v>
      </c>
      <c r="D41" s="22">
        <f>SUM(E41:P41)</f>
        <v>0</v>
      </c>
      <c r="E41" s="23"/>
      <c r="F41" s="55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2">
        <f t="shared" si="7"/>
        <v>0</v>
      </c>
    </row>
    <row r="42" spans="1:17" ht="15.75">
      <c r="A42" s="99" t="s">
        <v>82</v>
      </c>
      <c r="B42" s="90"/>
      <c r="C42" s="58">
        <f>C41</f>
        <v>3188</v>
      </c>
      <c r="D42" s="26">
        <f>SUM(E42:P42)</f>
        <v>0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>
        <f t="shared" si="7"/>
        <v>0</v>
      </c>
    </row>
    <row r="43" spans="1:17" ht="15.75">
      <c r="A43" s="28" t="s">
        <v>76</v>
      </c>
      <c r="B43" s="112"/>
      <c r="C43" s="111">
        <v>408.6</v>
      </c>
      <c r="D43" s="97" t="e">
        <f>D44/D42</f>
        <v>#DIV/0!</v>
      </c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97" t="e">
        <f t="shared" si="7"/>
        <v>#DIV/0!</v>
      </c>
    </row>
    <row r="44" spans="1:17" ht="15.75">
      <c r="A44" s="101" t="s">
        <v>77</v>
      </c>
      <c r="B44" s="90"/>
      <c r="C44" s="59">
        <v>1302630</v>
      </c>
      <c r="D44" s="31">
        <f>SUM(E44:P44)</f>
        <v>0</v>
      </c>
      <c r="E44" s="31">
        <f>E43*E42</f>
        <v>0</v>
      </c>
      <c r="F44" s="31">
        <f aca="true" t="shared" si="14" ref="F44:P44">F43*F42</f>
        <v>0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 t="shared" si="14"/>
        <v>0</v>
      </c>
      <c r="O44" s="31">
        <f t="shared" si="14"/>
        <v>0</v>
      </c>
      <c r="P44" s="31">
        <f t="shared" si="14"/>
        <v>0</v>
      </c>
      <c r="Q44" s="31">
        <f t="shared" si="7"/>
        <v>0</v>
      </c>
    </row>
  </sheetData>
  <sheetProtection/>
  <mergeCells count="1">
    <mergeCell ref="A1:Q1"/>
  </mergeCells>
  <printOptions horizontalCentered="1"/>
  <pageMargins left="0.25" right="0.25" top="0.7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36"/>
  <sheetViews>
    <sheetView zoomScalePageLayoutView="0" workbookViewId="0" topLeftCell="A1">
      <pane xSplit="3" ySplit="4" topLeftCell="D11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169" sqref="G169"/>
    </sheetView>
  </sheetViews>
  <sheetFormatPr defaultColWidth="9.00390625" defaultRowHeight="15.75"/>
  <cols>
    <col min="1" max="1" width="22.125" style="0" customWidth="1"/>
    <col min="3" max="3" width="8.625" style="0" customWidth="1"/>
    <col min="4" max="5" width="7.00390625" style="0" customWidth="1"/>
    <col min="6" max="6" width="6.75390625" style="0" customWidth="1"/>
    <col min="7" max="8" width="7.00390625" style="0" customWidth="1"/>
    <col min="9" max="9" width="7.375" style="0" customWidth="1"/>
    <col min="10" max="13" width="7.125" style="0" customWidth="1"/>
    <col min="14" max="14" width="6.875" style="0" customWidth="1"/>
    <col min="15" max="15" width="6.50390625" style="0" customWidth="1"/>
    <col min="16" max="16" width="6.00390625" style="0" customWidth="1"/>
    <col min="17" max="17" width="16.625" style="0" hidden="1" customWidth="1"/>
    <col min="18" max="18" width="9.00390625" style="0" hidden="1" customWidth="1"/>
    <col min="19" max="19" width="22.625" style="0" hidden="1" customWidth="1"/>
    <col min="20" max="23" width="9.00390625" style="0" hidden="1" customWidth="1"/>
    <col min="24" max="24" width="7.875" style="0" hidden="1" customWidth="1"/>
    <col min="25" max="25" width="7.50390625" style="0" hidden="1" customWidth="1"/>
    <col min="26" max="26" width="6.75390625" style="0" hidden="1" customWidth="1"/>
    <col min="27" max="27" width="7.875" style="0" hidden="1" customWidth="1"/>
    <col min="28" max="28" width="7.375" style="0" hidden="1" customWidth="1"/>
    <col min="29" max="29" width="7.50390625" style="0" hidden="1" customWidth="1"/>
    <col min="30" max="30" width="7.875" style="0" hidden="1" customWidth="1"/>
    <col min="31" max="31" width="7.375" style="0" hidden="1" customWidth="1"/>
    <col min="32" max="32" width="7.125" style="0" hidden="1" customWidth="1"/>
    <col min="33" max="33" width="7.00390625" style="0" hidden="1" customWidth="1"/>
    <col min="34" max="34" width="7.125" style="0" hidden="1" customWidth="1"/>
    <col min="35" max="35" width="6.125" style="0" hidden="1" customWidth="1"/>
    <col min="36" max="36" width="5.75390625" style="0" hidden="1" customWidth="1"/>
  </cols>
  <sheetData>
    <row r="1" spans="1:17" ht="15.75">
      <c r="A1" s="420" t="s">
        <v>323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94"/>
    </row>
    <row r="2" spans="1:17" ht="14.25" customHeight="1">
      <c r="A2" s="219"/>
      <c r="B2" s="219"/>
      <c r="C2" s="223"/>
      <c r="D2" s="224"/>
      <c r="E2" s="224"/>
      <c r="F2" s="224"/>
      <c r="G2" s="224"/>
      <c r="H2" s="224"/>
      <c r="I2" s="224"/>
      <c r="J2" s="131" t="s">
        <v>10</v>
      </c>
      <c r="K2" s="224"/>
      <c r="L2" s="224"/>
      <c r="M2" s="224"/>
      <c r="N2" s="224"/>
      <c r="O2" s="224"/>
      <c r="P2" s="225"/>
      <c r="Q2" s="126"/>
    </row>
    <row r="3" spans="1:36" ht="43.5" customHeight="1">
      <c r="A3" s="5" t="s">
        <v>66</v>
      </c>
      <c r="B3" s="6" t="s">
        <v>312</v>
      </c>
      <c r="C3" s="7" t="s">
        <v>313</v>
      </c>
      <c r="D3" s="415" t="s">
        <v>1</v>
      </c>
      <c r="E3" s="412" t="s">
        <v>104</v>
      </c>
      <c r="F3" s="412" t="s">
        <v>108</v>
      </c>
      <c r="G3" s="412" t="s">
        <v>105</v>
      </c>
      <c r="H3" s="412" t="s">
        <v>3</v>
      </c>
      <c r="I3" s="412" t="s">
        <v>106</v>
      </c>
      <c r="J3" s="412" t="s">
        <v>107</v>
      </c>
      <c r="K3" s="412" t="s">
        <v>4</v>
      </c>
      <c r="L3" s="412" t="s">
        <v>115</v>
      </c>
      <c r="M3" s="412" t="s">
        <v>117</v>
      </c>
      <c r="N3" s="413" t="s">
        <v>7</v>
      </c>
      <c r="O3" s="412" t="s">
        <v>118</v>
      </c>
      <c r="P3" s="8" t="s">
        <v>67</v>
      </c>
      <c r="Q3" s="95"/>
      <c r="S3" s="240" t="s">
        <v>0</v>
      </c>
      <c r="T3" s="241" t="s">
        <v>297</v>
      </c>
      <c r="U3" s="241" t="s">
        <v>298</v>
      </c>
      <c r="V3" s="241" t="s">
        <v>299</v>
      </c>
      <c r="W3" s="242" t="s">
        <v>1</v>
      </c>
      <c r="X3" s="243" t="s">
        <v>112</v>
      </c>
      <c r="Y3" s="243" t="s">
        <v>2</v>
      </c>
      <c r="Z3" s="243" t="s">
        <v>109</v>
      </c>
      <c r="AA3" s="241" t="s">
        <v>3</v>
      </c>
      <c r="AB3" s="243" t="s">
        <v>106</v>
      </c>
      <c r="AC3" s="244" t="s">
        <v>110</v>
      </c>
      <c r="AD3" s="243" t="s">
        <v>111</v>
      </c>
      <c r="AE3" s="241" t="s">
        <v>5</v>
      </c>
      <c r="AF3" s="241" t="s">
        <v>6</v>
      </c>
      <c r="AG3" s="244" t="s">
        <v>7</v>
      </c>
      <c r="AH3" s="244" t="s">
        <v>8</v>
      </c>
      <c r="AI3" s="241" t="s">
        <v>300</v>
      </c>
      <c r="AJ3" s="241" t="s">
        <v>191</v>
      </c>
    </row>
    <row r="4" spans="1:36" ht="15.75">
      <c r="A4" s="42" t="s">
        <v>83</v>
      </c>
      <c r="B4" s="43">
        <f>B5+B30+B47+B78+B85+B95+B183+B188+B193+B200+B209</f>
        <v>269234.60000000003</v>
      </c>
      <c r="C4" s="11">
        <f>SUM(D4:O4)</f>
        <v>267306.35000000003</v>
      </c>
      <c r="D4" s="43">
        <f aca="true" t="shared" si="0" ref="D4:O4">D5+D30+D47+D78+D85+D95+D183+D188+D193+D200+D209</f>
        <v>6116.450000000001</v>
      </c>
      <c r="E4" s="43">
        <f t="shared" si="0"/>
        <v>17985</v>
      </c>
      <c r="F4" s="43">
        <f t="shared" si="0"/>
        <v>16685.1</v>
      </c>
      <c r="G4" s="43">
        <f t="shared" si="0"/>
        <v>6824</v>
      </c>
      <c r="H4" s="43">
        <f t="shared" si="0"/>
        <v>48365.7</v>
      </c>
      <c r="I4" s="43">
        <f t="shared" si="0"/>
        <v>3130.4</v>
      </c>
      <c r="J4" s="43">
        <f t="shared" si="0"/>
        <v>19700.4</v>
      </c>
      <c r="K4" s="43">
        <f t="shared" si="0"/>
        <v>56104.40000000001</v>
      </c>
      <c r="L4" s="43">
        <f t="shared" si="0"/>
        <v>52336.7</v>
      </c>
      <c r="M4" s="43">
        <f t="shared" si="0"/>
        <v>16662.100000000002</v>
      </c>
      <c r="N4" s="43">
        <f t="shared" si="0"/>
        <v>15205.000000000002</v>
      </c>
      <c r="O4" s="43">
        <f t="shared" si="0"/>
        <v>8191.1</v>
      </c>
      <c r="P4" s="44">
        <f aca="true" t="shared" si="1" ref="P4:P10">C4/B4*100</f>
        <v>99.28380304760235</v>
      </c>
      <c r="Q4" s="125"/>
      <c r="R4" s="47"/>
      <c r="S4" s="245" t="s">
        <v>83</v>
      </c>
      <c r="T4" s="279">
        <f>T5+T20+T25+T34+T39+T45+T50+T55+T57+T64+T69</f>
        <v>264044.89999999997</v>
      </c>
      <c r="U4" s="246">
        <f>U5+U20+U25+U34+U39+U45+U50+U55+U57+U64+U69</f>
        <v>264024.7</v>
      </c>
      <c r="V4" s="254">
        <f aca="true" t="shared" si="2" ref="V4:V9">SUM(W4:AH4)</f>
        <v>265203.67000000004</v>
      </c>
      <c r="W4" s="247">
        <f aca="true" t="shared" si="3" ref="W4:AH4">W5+W20+W25+W34+W39+W45+W50+W55+W57+W64+W69</f>
        <v>6134.400000000001</v>
      </c>
      <c r="X4" s="246">
        <f t="shared" si="3"/>
        <v>17984</v>
      </c>
      <c r="Y4" s="246">
        <f t="shared" si="3"/>
        <v>15898.6</v>
      </c>
      <c r="Z4" s="246">
        <f t="shared" si="3"/>
        <v>6778</v>
      </c>
      <c r="AA4" s="254">
        <f t="shared" si="3"/>
        <v>48315.6</v>
      </c>
      <c r="AB4" s="246">
        <f t="shared" si="3"/>
        <v>3093.5</v>
      </c>
      <c r="AC4" s="247">
        <f t="shared" si="3"/>
        <v>19751.500000000004</v>
      </c>
      <c r="AD4" s="246">
        <f t="shared" si="3"/>
        <v>55232.670000000006</v>
      </c>
      <c r="AE4" s="246">
        <f t="shared" si="3"/>
        <v>51680.7</v>
      </c>
      <c r="AF4" s="254">
        <f t="shared" si="3"/>
        <v>16662.8</v>
      </c>
      <c r="AG4" s="247">
        <f t="shared" si="3"/>
        <v>15390.9</v>
      </c>
      <c r="AH4" s="247">
        <f t="shared" si="3"/>
        <v>8281</v>
      </c>
      <c r="AI4" s="248">
        <f aca="true" t="shared" si="4" ref="AI4:AI59">V4/U4*100</f>
        <v>100.44653776711043</v>
      </c>
      <c r="AJ4" s="253">
        <f aca="true" t="shared" si="5" ref="AJ4:AJ24">V4/T4*100</f>
        <v>100.43885339197996</v>
      </c>
    </row>
    <row r="5" spans="1:36" ht="16.5" customHeight="1">
      <c r="A5" s="21" t="s">
        <v>122</v>
      </c>
      <c r="B5" s="45">
        <v>172633.7</v>
      </c>
      <c r="C5" s="22">
        <f>SUM(D5:O5)</f>
        <v>172483.8</v>
      </c>
      <c r="D5" s="45">
        <v>5156.6</v>
      </c>
      <c r="E5" s="45">
        <v>13122</v>
      </c>
      <c r="F5" s="45">
        <v>12401.1</v>
      </c>
      <c r="G5" s="45">
        <v>5050</v>
      </c>
      <c r="H5" s="45">
        <v>39494</v>
      </c>
      <c r="I5" s="45">
        <v>1512</v>
      </c>
      <c r="J5" s="45">
        <v>15517</v>
      </c>
      <c r="K5" s="45">
        <v>44802</v>
      </c>
      <c r="L5" s="45">
        <v>33614</v>
      </c>
      <c r="M5" s="45">
        <v>520.8</v>
      </c>
      <c r="N5" s="45">
        <v>699</v>
      </c>
      <c r="O5" s="45">
        <v>595.3</v>
      </c>
      <c r="P5" s="24">
        <f t="shared" si="1"/>
        <v>99.91316874978638</v>
      </c>
      <c r="Q5" s="318" t="s">
        <v>302</v>
      </c>
      <c r="R5" s="320">
        <f>C5-V5</f>
        <v>-329.79999999998836</v>
      </c>
      <c r="S5" s="255" t="s">
        <v>155</v>
      </c>
      <c r="T5" s="278">
        <v>174142.3</v>
      </c>
      <c r="U5" s="256">
        <v>172052</v>
      </c>
      <c r="V5" s="264">
        <f t="shared" si="2"/>
        <v>172813.59999999998</v>
      </c>
      <c r="W5" s="258">
        <f aca="true" t="shared" si="6" ref="W5:AH5">SUM(W6:W8)</f>
        <v>5188.6</v>
      </c>
      <c r="X5" s="256">
        <f t="shared" si="6"/>
        <v>13051</v>
      </c>
      <c r="Y5" s="256">
        <f t="shared" si="6"/>
        <v>12251</v>
      </c>
      <c r="Z5" s="256">
        <f t="shared" si="6"/>
        <v>5050</v>
      </c>
      <c r="AA5" s="264">
        <v>39740</v>
      </c>
      <c r="AB5" s="256">
        <f t="shared" si="6"/>
        <v>1512</v>
      </c>
      <c r="AC5" s="258">
        <f t="shared" si="6"/>
        <v>15725</v>
      </c>
      <c r="AD5" s="256">
        <f t="shared" si="6"/>
        <v>44806.7</v>
      </c>
      <c r="AE5" s="256">
        <f t="shared" si="6"/>
        <v>33614</v>
      </c>
      <c r="AF5" s="264">
        <v>520.8</v>
      </c>
      <c r="AG5" s="258">
        <f t="shared" si="6"/>
        <v>776.2</v>
      </c>
      <c r="AH5" s="258">
        <f t="shared" si="6"/>
        <v>578.3</v>
      </c>
      <c r="AI5" s="259">
        <f t="shared" si="4"/>
        <v>100.44265687117846</v>
      </c>
      <c r="AJ5" s="253">
        <f t="shared" si="5"/>
        <v>99.2370033013231</v>
      </c>
    </row>
    <row r="6" spans="1:36" ht="15.75">
      <c r="A6" s="99" t="s">
        <v>42</v>
      </c>
      <c r="B6" s="96">
        <v>162635</v>
      </c>
      <c r="C6" s="97">
        <f>SUM(D6:O6)</f>
        <v>162572.1</v>
      </c>
      <c r="D6" s="46">
        <v>4830.5</v>
      </c>
      <c r="E6" s="46">
        <v>12150</v>
      </c>
      <c r="F6" s="46">
        <v>11202.9</v>
      </c>
      <c r="G6" s="46">
        <v>4500</v>
      </c>
      <c r="H6" s="46">
        <v>38650</v>
      </c>
      <c r="I6" s="46">
        <v>1509</v>
      </c>
      <c r="J6" s="46">
        <v>15352</v>
      </c>
      <c r="K6" s="46">
        <v>43200</v>
      </c>
      <c r="L6" s="46">
        <v>29450</v>
      </c>
      <c r="M6" s="46">
        <v>500.6</v>
      </c>
      <c r="N6" s="46">
        <v>764.1</v>
      </c>
      <c r="O6" s="46">
        <v>463</v>
      </c>
      <c r="P6" s="98">
        <f t="shared" si="1"/>
        <v>99.96132443815907</v>
      </c>
      <c r="Q6" s="318"/>
      <c r="R6" s="318"/>
      <c r="S6" s="249" t="s">
        <v>61</v>
      </c>
      <c r="T6" s="277">
        <v>160472.9</v>
      </c>
      <c r="U6" s="250">
        <v>158416.8</v>
      </c>
      <c r="V6" s="250">
        <f t="shared" si="2"/>
        <v>160425.3</v>
      </c>
      <c r="W6" s="251">
        <v>800</v>
      </c>
      <c r="X6" s="250">
        <v>13051</v>
      </c>
      <c r="Y6" s="250">
        <v>12101</v>
      </c>
      <c r="Z6" s="250">
        <v>18.3</v>
      </c>
      <c r="AA6" s="250">
        <f>AA5-AA7</f>
        <v>39523</v>
      </c>
      <c r="AB6" s="250">
        <v>227</v>
      </c>
      <c r="AC6" s="251">
        <v>14409</v>
      </c>
      <c r="AD6" s="250">
        <v>44806.7</v>
      </c>
      <c r="AE6" s="250">
        <v>33614</v>
      </c>
      <c r="AF6" s="250">
        <v>520.8</v>
      </c>
      <c r="AG6" s="251">
        <v>776.2</v>
      </c>
      <c r="AH6" s="251">
        <v>578.3</v>
      </c>
      <c r="AI6" s="252"/>
      <c r="AJ6" s="253">
        <f t="shared" si="5"/>
        <v>99.97033767072196</v>
      </c>
    </row>
    <row r="7" spans="1:36" ht="15.75">
      <c r="A7" s="99" t="s">
        <v>84</v>
      </c>
      <c r="B7" s="207">
        <v>33.5</v>
      </c>
      <c r="C7" s="371">
        <f>C8/C6*10</f>
        <v>0</v>
      </c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98">
        <f t="shared" si="1"/>
        <v>0</v>
      </c>
      <c r="Q7" s="318"/>
      <c r="R7" s="318"/>
      <c r="S7" s="249" t="s">
        <v>62</v>
      </c>
      <c r="T7" s="277">
        <f>T5-T6</f>
        <v>13669.399999999994</v>
      </c>
      <c r="U7" s="250">
        <v>13635.2</v>
      </c>
      <c r="V7" s="250">
        <f t="shared" si="2"/>
        <v>12182.3</v>
      </c>
      <c r="W7" s="251">
        <v>4388.6</v>
      </c>
      <c r="X7" s="250"/>
      <c r="Y7" s="250">
        <v>150</v>
      </c>
      <c r="Z7" s="250">
        <v>5031.7</v>
      </c>
      <c r="AA7" s="250">
        <v>217</v>
      </c>
      <c r="AB7" s="250">
        <v>1285</v>
      </c>
      <c r="AC7" s="251">
        <v>1110</v>
      </c>
      <c r="AD7" s="250"/>
      <c r="AE7" s="250"/>
      <c r="AF7" s="250"/>
      <c r="AG7" s="251"/>
      <c r="AH7" s="251"/>
      <c r="AI7" s="252"/>
      <c r="AJ7" s="253">
        <f t="shared" si="5"/>
        <v>89.1209562965456</v>
      </c>
    </row>
    <row r="8" spans="1:36" ht="15.75">
      <c r="A8" s="99" t="s">
        <v>85</v>
      </c>
      <c r="B8" s="207">
        <v>545338.7</v>
      </c>
      <c r="C8" s="372">
        <f>SUM(D8:O8)</f>
        <v>0</v>
      </c>
      <c r="D8" s="233">
        <f>D7*D6/10</f>
        <v>0</v>
      </c>
      <c r="E8" s="233">
        <f aca="true" t="shared" si="7" ref="E8:O8">E7*E6/10</f>
        <v>0</v>
      </c>
      <c r="F8" s="233">
        <f t="shared" si="7"/>
        <v>0</v>
      </c>
      <c r="G8" s="233">
        <f t="shared" si="7"/>
        <v>0</v>
      </c>
      <c r="H8" s="233">
        <f t="shared" si="7"/>
        <v>0</v>
      </c>
      <c r="I8" s="233">
        <f t="shared" si="7"/>
        <v>0</v>
      </c>
      <c r="J8" s="233">
        <f t="shared" si="7"/>
        <v>0</v>
      </c>
      <c r="K8" s="233">
        <f t="shared" si="7"/>
        <v>0</v>
      </c>
      <c r="L8" s="233">
        <f t="shared" si="7"/>
        <v>0</v>
      </c>
      <c r="M8" s="233">
        <f t="shared" si="7"/>
        <v>0</v>
      </c>
      <c r="N8" s="233">
        <f t="shared" si="7"/>
        <v>0</v>
      </c>
      <c r="O8" s="233">
        <f t="shared" si="7"/>
        <v>0</v>
      </c>
      <c r="P8" s="98">
        <f t="shared" si="1"/>
        <v>0</v>
      </c>
      <c r="Q8" s="318"/>
      <c r="R8" s="318"/>
      <c r="S8" s="249" t="s">
        <v>63</v>
      </c>
      <c r="T8" s="277"/>
      <c r="U8" s="250"/>
      <c r="V8" s="250">
        <f t="shared" si="2"/>
        <v>206</v>
      </c>
      <c r="W8" s="251"/>
      <c r="X8" s="250"/>
      <c r="Y8" s="250"/>
      <c r="Z8" s="250"/>
      <c r="AA8" s="250"/>
      <c r="AB8" s="250"/>
      <c r="AC8" s="251">
        <v>206</v>
      </c>
      <c r="AD8" s="250"/>
      <c r="AE8" s="250"/>
      <c r="AF8" s="250"/>
      <c r="AG8" s="251"/>
      <c r="AH8" s="251"/>
      <c r="AI8" s="252"/>
      <c r="AJ8" s="253"/>
    </row>
    <row r="9" spans="1:36" ht="15.75">
      <c r="A9" s="394" t="s">
        <v>203</v>
      </c>
      <c r="B9" s="399">
        <v>160282.9</v>
      </c>
      <c r="C9" s="395">
        <f>SUM(D9:O9)</f>
        <v>160133</v>
      </c>
      <c r="D9" s="399">
        <f>D5-D13-D17</f>
        <v>800.2000000000007</v>
      </c>
      <c r="E9" s="399">
        <f aca="true" t="shared" si="8" ref="E9:O9">E5-E13-E17</f>
        <v>13122</v>
      </c>
      <c r="F9" s="399">
        <f t="shared" si="8"/>
        <v>12251.1</v>
      </c>
      <c r="G9" s="399">
        <f t="shared" si="8"/>
        <v>18.300000000000182</v>
      </c>
      <c r="H9" s="399">
        <f t="shared" si="8"/>
        <v>39277</v>
      </c>
      <c r="I9" s="399">
        <f t="shared" si="8"/>
        <v>227</v>
      </c>
      <c r="J9" s="399">
        <f t="shared" si="8"/>
        <v>14206.3</v>
      </c>
      <c r="K9" s="399">
        <f t="shared" si="8"/>
        <v>44802</v>
      </c>
      <c r="L9" s="399">
        <f t="shared" si="8"/>
        <v>33614</v>
      </c>
      <c r="M9" s="399">
        <f t="shared" si="8"/>
        <v>520.8</v>
      </c>
      <c r="N9" s="399">
        <f t="shared" si="8"/>
        <v>699</v>
      </c>
      <c r="O9" s="399">
        <f t="shared" si="8"/>
        <v>595.3</v>
      </c>
      <c r="P9" s="397">
        <f t="shared" si="1"/>
        <v>99.90647785883586</v>
      </c>
      <c r="Q9" s="318"/>
      <c r="R9" s="318"/>
      <c r="S9" s="249" t="s">
        <v>42</v>
      </c>
      <c r="T9" s="277">
        <v>162040.1</v>
      </c>
      <c r="U9" s="250">
        <v>161540.1</v>
      </c>
      <c r="V9" s="269">
        <f t="shared" si="2"/>
        <v>162446.1</v>
      </c>
      <c r="W9" s="251">
        <v>4712.5</v>
      </c>
      <c r="X9" s="250">
        <v>12150</v>
      </c>
      <c r="Y9" s="250">
        <v>11202.9</v>
      </c>
      <c r="Z9" s="250">
        <v>4500</v>
      </c>
      <c r="AA9" s="263">
        <v>38650</v>
      </c>
      <c r="AB9" s="250">
        <v>1500</v>
      </c>
      <c r="AC9" s="251">
        <v>15352</v>
      </c>
      <c r="AD9" s="250">
        <v>43200</v>
      </c>
      <c r="AE9" s="263">
        <v>29450</v>
      </c>
      <c r="AF9" s="250">
        <v>500.6</v>
      </c>
      <c r="AG9" s="251">
        <v>764.1</v>
      </c>
      <c r="AH9" s="251">
        <v>464</v>
      </c>
      <c r="AI9" s="252">
        <f t="shared" si="4"/>
        <v>100.56085145422095</v>
      </c>
      <c r="AJ9" s="253">
        <f t="shared" si="5"/>
        <v>100.25055526378964</v>
      </c>
    </row>
    <row r="10" spans="1:36" ht="15.75">
      <c r="A10" s="394" t="s">
        <v>100</v>
      </c>
      <c r="B10" s="399"/>
      <c r="C10" s="395">
        <f>SUM(D10:O10)</f>
        <v>151008.1</v>
      </c>
      <c r="D10" s="400">
        <f>D6-D14-D18</f>
        <v>698.5</v>
      </c>
      <c r="E10" s="400">
        <f aca="true" t="shared" si="9" ref="E10:O10">E6-E14-E18</f>
        <v>12150</v>
      </c>
      <c r="F10" s="400">
        <f t="shared" si="9"/>
        <v>11052.9</v>
      </c>
      <c r="G10" s="400">
        <f t="shared" si="9"/>
        <v>18</v>
      </c>
      <c r="H10" s="400">
        <f t="shared" si="9"/>
        <v>38433</v>
      </c>
      <c r="I10" s="400">
        <f t="shared" si="9"/>
        <v>224</v>
      </c>
      <c r="J10" s="400">
        <f t="shared" si="9"/>
        <v>14054</v>
      </c>
      <c r="K10" s="400">
        <f t="shared" si="9"/>
        <v>43200</v>
      </c>
      <c r="L10" s="400">
        <f t="shared" si="9"/>
        <v>29450</v>
      </c>
      <c r="M10" s="400">
        <f t="shared" si="9"/>
        <v>500.6</v>
      </c>
      <c r="N10" s="400">
        <f t="shared" si="9"/>
        <v>764.1</v>
      </c>
      <c r="O10" s="400">
        <f t="shared" si="9"/>
        <v>463</v>
      </c>
      <c r="P10" s="397" t="e">
        <f t="shared" si="1"/>
        <v>#DIV/0!</v>
      </c>
      <c r="Q10" s="318"/>
      <c r="R10" s="318"/>
      <c r="S10" s="249" t="s">
        <v>18</v>
      </c>
      <c r="T10" s="277">
        <v>31.9</v>
      </c>
      <c r="U10" s="250">
        <v>32.6</v>
      </c>
      <c r="V10" s="263">
        <f>V11/V9*10</f>
        <v>32.501737674834914</v>
      </c>
      <c r="W10" s="251">
        <v>22.785</v>
      </c>
      <c r="X10" s="250">
        <v>30.2</v>
      </c>
      <c r="Y10" s="250">
        <v>31.8</v>
      </c>
      <c r="Z10" s="250">
        <v>28.3</v>
      </c>
      <c r="AA10" s="263">
        <v>34.5</v>
      </c>
      <c r="AB10" s="250">
        <v>32</v>
      </c>
      <c r="AC10" s="251">
        <v>31.248</v>
      </c>
      <c r="AD10" s="250">
        <v>32.5</v>
      </c>
      <c r="AE10" s="263">
        <v>34.5</v>
      </c>
      <c r="AF10" s="250">
        <v>21</v>
      </c>
      <c r="AG10" s="251">
        <v>25</v>
      </c>
      <c r="AH10" s="251">
        <v>23.9</v>
      </c>
      <c r="AI10" s="252">
        <f t="shared" si="4"/>
        <v>99.69858182464696</v>
      </c>
      <c r="AJ10" s="253">
        <f t="shared" si="5"/>
        <v>101.8863249994825</v>
      </c>
    </row>
    <row r="11" spans="1:36" ht="15.75">
      <c r="A11" s="394" t="s">
        <v>99</v>
      </c>
      <c r="B11" s="399"/>
      <c r="C11" s="395">
        <f>C12/C10*10</f>
        <v>0</v>
      </c>
      <c r="D11" s="399">
        <f>D12/D10*10</f>
        <v>0</v>
      </c>
      <c r="E11" s="399">
        <f aca="true" t="shared" si="10" ref="E11:O11">E12/E10*10</f>
        <v>0</v>
      </c>
      <c r="F11" s="399">
        <f t="shared" si="10"/>
        <v>0</v>
      </c>
      <c r="G11" s="399">
        <f t="shared" si="10"/>
        <v>0</v>
      </c>
      <c r="H11" s="399">
        <f t="shared" si="10"/>
        <v>0</v>
      </c>
      <c r="I11" s="399">
        <f t="shared" si="10"/>
        <v>0</v>
      </c>
      <c r="J11" s="399">
        <f t="shared" si="10"/>
        <v>0</v>
      </c>
      <c r="K11" s="399">
        <f t="shared" si="10"/>
        <v>0</v>
      </c>
      <c r="L11" s="399">
        <f t="shared" si="10"/>
        <v>0</v>
      </c>
      <c r="M11" s="399">
        <f t="shared" si="10"/>
        <v>0</v>
      </c>
      <c r="N11" s="399">
        <f t="shared" si="10"/>
        <v>0</v>
      </c>
      <c r="O11" s="399">
        <f t="shared" si="10"/>
        <v>0</v>
      </c>
      <c r="P11" s="397"/>
      <c r="Q11" s="318"/>
      <c r="R11" s="318"/>
      <c r="S11" s="249" t="s">
        <v>19</v>
      </c>
      <c r="T11" s="277">
        <v>516602.8</v>
      </c>
      <c r="U11" s="250">
        <v>526001.7</v>
      </c>
      <c r="V11" s="250">
        <f aca="true" t="shared" si="11" ref="V11:V21">SUM(W11:AH11)</f>
        <v>527978.05285</v>
      </c>
      <c r="W11" s="251">
        <f>W10*W9/10</f>
        <v>10737.43125</v>
      </c>
      <c r="X11" s="250">
        <f aca="true" t="shared" si="12" ref="X11:AH11">X10*X9/10</f>
        <v>36693</v>
      </c>
      <c r="Y11" s="250">
        <f t="shared" si="12"/>
        <v>35625.221999999994</v>
      </c>
      <c r="Z11" s="250">
        <f t="shared" si="12"/>
        <v>12735</v>
      </c>
      <c r="AA11" s="250">
        <f t="shared" si="12"/>
        <v>133342.5</v>
      </c>
      <c r="AB11" s="250">
        <f t="shared" si="12"/>
        <v>4800</v>
      </c>
      <c r="AC11" s="251">
        <f t="shared" si="12"/>
        <v>47971.9296</v>
      </c>
      <c r="AD11" s="250">
        <f t="shared" si="12"/>
        <v>140400</v>
      </c>
      <c r="AE11" s="250">
        <f t="shared" si="12"/>
        <v>101602.5</v>
      </c>
      <c r="AF11" s="250">
        <f t="shared" si="12"/>
        <v>1051.26</v>
      </c>
      <c r="AG11" s="251">
        <f t="shared" si="12"/>
        <v>1910.25</v>
      </c>
      <c r="AH11" s="251">
        <f t="shared" si="12"/>
        <v>1108.9599999999998</v>
      </c>
      <c r="AI11" s="252">
        <f t="shared" si="4"/>
        <v>100.375731266648</v>
      </c>
      <c r="AJ11" s="253">
        <f t="shared" si="5"/>
        <v>102.20193402939357</v>
      </c>
    </row>
    <row r="12" spans="1:36" ht="15.75">
      <c r="A12" s="394" t="s">
        <v>98</v>
      </c>
      <c r="B12" s="399"/>
      <c r="C12" s="395">
        <f>SUM(D12:O12)</f>
        <v>0</v>
      </c>
      <c r="D12" s="401">
        <f>D8-D16-D20</f>
        <v>0</v>
      </c>
      <c r="E12" s="401">
        <f aca="true" t="shared" si="13" ref="E12:O12">E8-E16-E20</f>
        <v>0</v>
      </c>
      <c r="F12" s="401">
        <f t="shared" si="13"/>
        <v>0</v>
      </c>
      <c r="G12" s="401">
        <f t="shared" si="13"/>
        <v>0</v>
      </c>
      <c r="H12" s="401">
        <f t="shared" si="13"/>
        <v>0</v>
      </c>
      <c r="I12" s="401">
        <f t="shared" si="13"/>
        <v>0</v>
      </c>
      <c r="J12" s="401">
        <f t="shared" si="13"/>
        <v>0</v>
      </c>
      <c r="K12" s="401">
        <f t="shared" si="13"/>
        <v>0</v>
      </c>
      <c r="L12" s="401">
        <f t="shared" si="13"/>
        <v>0</v>
      </c>
      <c r="M12" s="401">
        <f t="shared" si="13"/>
        <v>0</v>
      </c>
      <c r="N12" s="401">
        <f t="shared" si="13"/>
        <v>0</v>
      </c>
      <c r="O12" s="401">
        <f t="shared" si="13"/>
        <v>0</v>
      </c>
      <c r="P12" s="397"/>
      <c r="Q12" s="318"/>
      <c r="R12" s="318"/>
      <c r="S12" s="280" t="s">
        <v>57</v>
      </c>
      <c r="T12" s="277">
        <v>0</v>
      </c>
      <c r="U12" s="250"/>
      <c r="V12" s="250">
        <f>SUM(W12:AH12)</f>
        <v>0</v>
      </c>
      <c r="W12" s="251"/>
      <c r="X12" s="250"/>
      <c r="Y12" s="250"/>
      <c r="Z12" s="250"/>
      <c r="AA12" s="250"/>
      <c r="AB12" s="250"/>
      <c r="AC12" s="251"/>
      <c r="AD12" s="250"/>
      <c r="AE12" s="250"/>
      <c r="AF12" s="250"/>
      <c r="AG12" s="251"/>
      <c r="AH12" s="251"/>
      <c r="AI12" s="252"/>
      <c r="AJ12" s="253"/>
    </row>
    <row r="13" spans="1:36" ht="15.75">
      <c r="A13" s="394" t="s">
        <v>202</v>
      </c>
      <c r="B13" s="399">
        <v>12150.1</v>
      </c>
      <c r="C13" s="395">
        <f>SUM(D13:O13)</f>
        <v>12150.099999999999</v>
      </c>
      <c r="D13" s="401">
        <v>4356.4</v>
      </c>
      <c r="E13" s="401"/>
      <c r="F13" s="401">
        <v>150</v>
      </c>
      <c r="G13" s="401">
        <v>5031.7</v>
      </c>
      <c r="H13" s="401">
        <v>217</v>
      </c>
      <c r="I13" s="401">
        <v>1285</v>
      </c>
      <c r="J13" s="401">
        <v>1110</v>
      </c>
      <c r="K13" s="401"/>
      <c r="L13" s="401"/>
      <c r="M13" s="401"/>
      <c r="N13" s="401"/>
      <c r="O13" s="401"/>
      <c r="P13" s="397">
        <f>C13/B13*100</f>
        <v>99.99999999999999</v>
      </c>
      <c r="Q13" s="318"/>
      <c r="R13" s="318"/>
      <c r="S13" s="280" t="s">
        <v>56</v>
      </c>
      <c r="T13" s="277">
        <v>7487.7</v>
      </c>
      <c r="U13" s="250">
        <f>U14+U17+U18</f>
        <v>5220</v>
      </c>
      <c r="V13" s="250">
        <f>SUM(W13:AH13)</f>
        <v>6425.9</v>
      </c>
      <c r="W13" s="251"/>
      <c r="X13" s="250">
        <f aca="true" t="shared" si="14" ref="X13:AH13">X14+X17+X18</f>
        <v>470</v>
      </c>
      <c r="Y13" s="250">
        <f t="shared" si="14"/>
        <v>650</v>
      </c>
      <c r="Z13" s="250">
        <f t="shared" si="14"/>
        <v>50</v>
      </c>
      <c r="AA13" s="250">
        <f t="shared" si="14"/>
        <v>953</v>
      </c>
      <c r="AB13" s="250"/>
      <c r="AC13" s="251">
        <f>AC14+AC17+AC18</f>
        <v>1102</v>
      </c>
      <c r="AD13" s="250">
        <f t="shared" si="14"/>
        <v>1797.8999999999999</v>
      </c>
      <c r="AE13" s="250">
        <f t="shared" si="14"/>
        <v>1400</v>
      </c>
      <c r="AF13" s="250"/>
      <c r="AG13" s="251"/>
      <c r="AH13" s="251">
        <f t="shared" si="14"/>
        <v>3</v>
      </c>
      <c r="AI13" s="252">
        <f t="shared" si="4"/>
        <v>123.10153256704982</v>
      </c>
      <c r="AJ13" s="253">
        <f t="shared" si="5"/>
        <v>85.81941049988647</v>
      </c>
    </row>
    <row r="14" spans="1:36" ht="15.75">
      <c r="A14" s="394" t="s">
        <v>100</v>
      </c>
      <c r="B14" s="399"/>
      <c r="C14" s="395">
        <f>SUM(D14:O14)</f>
        <v>11361</v>
      </c>
      <c r="D14" s="401">
        <v>4132</v>
      </c>
      <c r="E14" s="401"/>
      <c r="F14" s="401">
        <v>150</v>
      </c>
      <c r="G14" s="401">
        <v>4482</v>
      </c>
      <c r="H14" s="401">
        <v>217</v>
      </c>
      <c r="I14" s="401">
        <v>1285</v>
      </c>
      <c r="J14" s="401">
        <v>1095</v>
      </c>
      <c r="K14" s="401"/>
      <c r="L14" s="401"/>
      <c r="M14" s="401"/>
      <c r="N14" s="401"/>
      <c r="O14" s="401"/>
      <c r="P14" s="397"/>
      <c r="Q14" s="318"/>
      <c r="R14" s="318"/>
      <c r="S14" s="280" t="s">
        <v>224</v>
      </c>
      <c r="T14" s="277">
        <v>3951</v>
      </c>
      <c r="U14" s="250">
        <v>2540</v>
      </c>
      <c r="V14" s="250">
        <f>SUM(W14:AH14)</f>
        <v>2900.1</v>
      </c>
      <c r="W14" s="262"/>
      <c r="X14" s="262">
        <v>170</v>
      </c>
      <c r="Y14" s="262">
        <v>330</v>
      </c>
      <c r="Z14" s="262"/>
      <c r="AA14" s="262">
        <v>500</v>
      </c>
      <c r="AB14" s="262"/>
      <c r="AC14" s="262">
        <v>75</v>
      </c>
      <c r="AD14" s="262">
        <v>1172.1</v>
      </c>
      <c r="AE14" s="262">
        <v>650</v>
      </c>
      <c r="AF14" s="262"/>
      <c r="AG14" s="262"/>
      <c r="AH14" s="262">
        <v>3</v>
      </c>
      <c r="AI14" s="252">
        <f t="shared" si="4"/>
        <v>114.17716535433071</v>
      </c>
      <c r="AJ14" s="253">
        <f t="shared" si="5"/>
        <v>73.40167046317387</v>
      </c>
    </row>
    <row r="15" spans="1:36" ht="15.75">
      <c r="A15" s="394" t="s">
        <v>99</v>
      </c>
      <c r="B15" s="399"/>
      <c r="C15" s="395">
        <f>C16/C14*10</f>
        <v>0</v>
      </c>
      <c r="D15" s="401"/>
      <c r="E15" s="401"/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397"/>
      <c r="Q15" s="318"/>
      <c r="R15" s="318"/>
      <c r="S15" s="280" t="s">
        <v>59</v>
      </c>
      <c r="T15" s="277">
        <v>0</v>
      </c>
      <c r="U15" s="250"/>
      <c r="V15" s="250">
        <f t="shared" si="11"/>
        <v>0</v>
      </c>
      <c r="W15" s="251"/>
      <c r="X15" s="250"/>
      <c r="Y15" s="250"/>
      <c r="Z15" s="250"/>
      <c r="AA15" s="250"/>
      <c r="AB15" s="250"/>
      <c r="AC15" s="251"/>
      <c r="AD15" s="250"/>
      <c r="AE15" s="250"/>
      <c r="AF15" s="250"/>
      <c r="AG15" s="251"/>
      <c r="AH15" s="251"/>
      <c r="AI15" s="252"/>
      <c r="AJ15" s="253"/>
    </row>
    <row r="16" spans="1:36" ht="15.75">
      <c r="A16" s="394" t="s">
        <v>98</v>
      </c>
      <c r="B16" s="399"/>
      <c r="C16" s="395">
        <f>SUM(D16:O16)</f>
        <v>0</v>
      </c>
      <c r="D16" s="401">
        <f>D14*D15/10</f>
        <v>0</v>
      </c>
      <c r="E16" s="401"/>
      <c r="F16" s="401">
        <f>F14*F15/10</f>
        <v>0</v>
      </c>
      <c r="G16" s="401">
        <f>G14*G15/10</f>
        <v>0</v>
      </c>
      <c r="H16" s="401">
        <f>H14*H15/10</f>
        <v>0</v>
      </c>
      <c r="I16" s="401">
        <f>I14*I15/10</f>
        <v>0</v>
      </c>
      <c r="J16" s="401">
        <f>J14*J15/10</f>
        <v>0</v>
      </c>
      <c r="K16" s="401"/>
      <c r="L16" s="401"/>
      <c r="M16" s="401"/>
      <c r="N16" s="401"/>
      <c r="O16" s="401"/>
      <c r="P16" s="397"/>
      <c r="Q16" s="318"/>
      <c r="R16" s="318"/>
      <c r="S16" s="280" t="s">
        <v>58</v>
      </c>
      <c r="T16" s="277">
        <v>0</v>
      </c>
      <c r="U16" s="250"/>
      <c r="V16" s="250">
        <f t="shared" si="11"/>
        <v>0</v>
      </c>
      <c r="W16" s="251"/>
      <c r="X16" s="250"/>
      <c r="Y16" s="250"/>
      <c r="Z16" s="250"/>
      <c r="AA16" s="250"/>
      <c r="AB16" s="250"/>
      <c r="AC16" s="251"/>
      <c r="AD16" s="250"/>
      <c r="AE16" s="250"/>
      <c r="AF16" s="250"/>
      <c r="AG16" s="251"/>
      <c r="AH16" s="251"/>
      <c r="AI16" s="252"/>
      <c r="AJ16" s="253"/>
    </row>
    <row r="17" spans="1:36" ht="15.75">
      <c r="A17" s="394" t="s">
        <v>123</v>
      </c>
      <c r="B17" s="399">
        <v>200.7</v>
      </c>
      <c r="C17" s="395">
        <f>SUM(D17:O17)</f>
        <v>200.7</v>
      </c>
      <c r="D17" s="399">
        <v>0</v>
      </c>
      <c r="E17" s="399">
        <v>0</v>
      </c>
      <c r="F17" s="399">
        <v>0</v>
      </c>
      <c r="G17" s="399">
        <v>0</v>
      </c>
      <c r="H17" s="399">
        <v>0</v>
      </c>
      <c r="I17" s="399">
        <v>0</v>
      </c>
      <c r="J17" s="399">
        <v>200.7</v>
      </c>
      <c r="K17" s="399">
        <v>0</v>
      </c>
      <c r="L17" s="399">
        <v>0</v>
      </c>
      <c r="M17" s="399">
        <v>0</v>
      </c>
      <c r="N17" s="399">
        <v>0</v>
      </c>
      <c r="O17" s="399">
        <v>0</v>
      </c>
      <c r="P17" s="397">
        <f>C17/B17*100</f>
        <v>100</v>
      </c>
      <c r="Q17" s="318"/>
      <c r="R17" s="318"/>
      <c r="S17" s="280" t="s">
        <v>187</v>
      </c>
      <c r="T17" s="277">
        <v>407</v>
      </c>
      <c r="U17" s="251">
        <v>0</v>
      </c>
      <c r="V17" s="250">
        <f t="shared" si="11"/>
        <v>50</v>
      </c>
      <c r="W17" s="251"/>
      <c r="X17" s="250"/>
      <c r="Y17" s="250"/>
      <c r="Z17" s="250">
        <v>50</v>
      </c>
      <c r="AA17" s="250"/>
      <c r="AB17" s="250"/>
      <c r="AC17" s="251"/>
      <c r="AD17" s="250"/>
      <c r="AE17" s="250"/>
      <c r="AF17" s="250"/>
      <c r="AG17" s="251"/>
      <c r="AH17" s="251"/>
      <c r="AI17" s="252"/>
      <c r="AJ17" s="253">
        <f t="shared" si="5"/>
        <v>12.285012285012286</v>
      </c>
    </row>
    <row r="18" spans="1:36" ht="15.75">
      <c r="A18" s="394" t="s">
        <v>100</v>
      </c>
      <c r="B18" s="399"/>
      <c r="C18" s="395">
        <f>SUM(D18:O18)</f>
        <v>203</v>
      </c>
      <c r="D18" s="399"/>
      <c r="E18" s="399"/>
      <c r="F18" s="399"/>
      <c r="G18" s="399"/>
      <c r="H18" s="399"/>
      <c r="I18" s="399"/>
      <c r="J18" s="399">
        <v>203</v>
      </c>
      <c r="K18" s="399"/>
      <c r="L18" s="399"/>
      <c r="M18" s="399"/>
      <c r="N18" s="399"/>
      <c r="O18" s="399"/>
      <c r="P18" s="397"/>
      <c r="Q18" s="318"/>
      <c r="R18" s="318"/>
      <c r="S18" s="280" t="s">
        <v>60</v>
      </c>
      <c r="T18" s="277">
        <v>3129.7</v>
      </c>
      <c r="U18" s="250">
        <v>2680</v>
      </c>
      <c r="V18" s="250">
        <f>SUM(W18:AH18)</f>
        <v>3475.8</v>
      </c>
      <c r="W18" s="251"/>
      <c r="X18" s="250">
        <v>300</v>
      </c>
      <c r="Y18" s="250">
        <v>320</v>
      </c>
      <c r="Z18" s="250"/>
      <c r="AA18" s="250">
        <v>453</v>
      </c>
      <c r="AB18" s="250"/>
      <c r="AC18" s="251">
        <v>1027</v>
      </c>
      <c r="AD18" s="250">
        <v>625.8</v>
      </c>
      <c r="AE18" s="250">
        <v>750</v>
      </c>
      <c r="AF18" s="250"/>
      <c r="AG18" s="251"/>
      <c r="AH18" s="251"/>
      <c r="AI18" s="252">
        <f t="shared" si="4"/>
        <v>129.69402985074626</v>
      </c>
      <c r="AJ18" s="253">
        <f t="shared" si="5"/>
        <v>111.05856791385757</v>
      </c>
    </row>
    <row r="19" spans="1:36" ht="15.75">
      <c r="A19" s="394" t="s">
        <v>99</v>
      </c>
      <c r="B19" s="399"/>
      <c r="C19" s="395">
        <f>C20/C18*10</f>
        <v>0</v>
      </c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7"/>
      <c r="Q19" s="318"/>
      <c r="R19" s="318"/>
      <c r="S19" s="281" t="s">
        <v>301</v>
      </c>
      <c r="T19" s="282"/>
      <c r="U19" s="282"/>
      <c r="V19" s="246">
        <f>SUM(W19:AH19)</f>
        <v>29924.6</v>
      </c>
      <c r="W19" s="247">
        <v>676.3</v>
      </c>
      <c r="X19" s="246">
        <v>960.9</v>
      </c>
      <c r="Y19" s="246">
        <v>2127</v>
      </c>
      <c r="Z19" s="246">
        <v>1371.1</v>
      </c>
      <c r="AA19" s="246">
        <v>2643</v>
      </c>
      <c r="AB19" s="246">
        <v>835</v>
      </c>
      <c r="AC19" s="247">
        <v>1618</v>
      </c>
      <c r="AD19" s="246">
        <v>12839.1</v>
      </c>
      <c r="AE19" s="246">
        <v>6381</v>
      </c>
      <c r="AF19" s="246"/>
      <c r="AG19" s="247">
        <v>325.6</v>
      </c>
      <c r="AH19" s="251">
        <v>147.6</v>
      </c>
      <c r="AI19" s="252"/>
      <c r="AJ19" s="253"/>
    </row>
    <row r="20" spans="1:36" ht="15.75">
      <c r="A20" s="394" t="s">
        <v>98</v>
      </c>
      <c r="B20" s="399"/>
      <c r="C20" s="395">
        <f>SUM(D20:O20)</f>
        <v>0</v>
      </c>
      <c r="D20" s="399">
        <f>D19*D18/10</f>
        <v>0</v>
      </c>
      <c r="E20" s="399">
        <f aca="true" t="shared" si="15" ref="E20:O20">E19*E18/10</f>
        <v>0</v>
      </c>
      <c r="F20" s="399">
        <f t="shared" si="15"/>
        <v>0</v>
      </c>
      <c r="G20" s="399">
        <f t="shared" si="15"/>
        <v>0</v>
      </c>
      <c r="H20" s="399">
        <f t="shared" si="15"/>
        <v>0</v>
      </c>
      <c r="I20" s="399">
        <f t="shared" si="15"/>
        <v>0</v>
      </c>
      <c r="J20" s="399">
        <f t="shared" si="15"/>
        <v>0</v>
      </c>
      <c r="K20" s="399">
        <f t="shared" si="15"/>
        <v>0</v>
      </c>
      <c r="L20" s="399">
        <f t="shared" si="15"/>
        <v>0</v>
      </c>
      <c r="M20" s="399">
        <f t="shared" si="15"/>
        <v>0</v>
      </c>
      <c r="N20" s="399">
        <f t="shared" si="15"/>
        <v>0</v>
      </c>
      <c r="O20" s="399">
        <f t="shared" si="15"/>
        <v>0</v>
      </c>
      <c r="P20" s="397"/>
      <c r="Q20" s="318"/>
      <c r="R20" s="318"/>
      <c r="S20" s="255" t="s">
        <v>156</v>
      </c>
      <c r="T20" s="256">
        <v>12104.9</v>
      </c>
      <c r="U20" s="256">
        <v>12104.9</v>
      </c>
      <c r="V20" s="256">
        <f t="shared" si="11"/>
        <v>11287.4</v>
      </c>
      <c r="W20" s="258">
        <v>237.2</v>
      </c>
      <c r="X20" s="258">
        <v>2650</v>
      </c>
      <c r="Y20" s="258">
        <v>7</v>
      </c>
      <c r="Z20" s="258"/>
      <c r="AA20" s="283">
        <v>165</v>
      </c>
      <c r="AB20" s="258"/>
      <c r="AC20" s="258">
        <v>1.6</v>
      </c>
      <c r="AD20" s="258">
        <v>505.6</v>
      </c>
      <c r="AE20" s="283">
        <v>7150</v>
      </c>
      <c r="AF20" s="266">
        <v>532</v>
      </c>
      <c r="AG20" s="258">
        <v>39</v>
      </c>
      <c r="AH20" s="258"/>
      <c r="AI20" s="259">
        <f>V20/U20*100</f>
        <v>93.24653652653058</v>
      </c>
      <c r="AJ20" s="253">
        <f t="shared" si="5"/>
        <v>93.24653652653058</v>
      </c>
    </row>
    <row r="21" spans="1:36" ht="15.75">
      <c r="A21" s="21" t="s">
        <v>124</v>
      </c>
      <c r="B21" s="45">
        <v>0</v>
      </c>
      <c r="C21" s="22">
        <f aca="true" t="shared" si="16" ref="C21:C31">SUM(D21:O21)</f>
        <v>0</v>
      </c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24" t="e">
        <f aca="true" t="shared" si="17" ref="P21:P101">C21/B21*100</f>
        <v>#DIV/0!</v>
      </c>
      <c r="Q21" s="318"/>
      <c r="R21" s="318"/>
      <c r="S21" s="249" t="s">
        <v>42</v>
      </c>
      <c r="T21" s="250">
        <v>11865.5</v>
      </c>
      <c r="U21" s="250">
        <v>11284.2</v>
      </c>
      <c r="V21" s="284">
        <f t="shared" si="11"/>
        <v>11176.599999999999</v>
      </c>
      <c r="W21" s="251">
        <v>237.2</v>
      </c>
      <c r="X21" s="251">
        <v>2640</v>
      </c>
      <c r="Y21" s="251">
        <v>7</v>
      </c>
      <c r="Z21" s="251"/>
      <c r="AA21" s="284">
        <v>165</v>
      </c>
      <c r="AB21" s="251"/>
      <c r="AC21" s="251">
        <v>1.6</v>
      </c>
      <c r="AD21" s="251">
        <v>468</v>
      </c>
      <c r="AE21" s="269">
        <v>7107</v>
      </c>
      <c r="AF21" s="251">
        <v>511.8</v>
      </c>
      <c r="AG21" s="251">
        <v>39</v>
      </c>
      <c r="AH21" s="251"/>
      <c r="AI21" s="252">
        <f t="shared" si="4"/>
        <v>99.04645433437902</v>
      </c>
      <c r="AJ21" s="253">
        <f t="shared" si="5"/>
        <v>94.19409211579789</v>
      </c>
    </row>
    <row r="22" spans="1:36" ht="15.75">
      <c r="A22" s="21" t="s">
        <v>86</v>
      </c>
      <c r="B22" s="39">
        <f>B23+B26+B27+B28</f>
        <v>7072</v>
      </c>
      <c r="C22" s="373">
        <f t="shared" si="16"/>
        <v>0</v>
      </c>
      <c r="D22" s="374">
        <f>D23+D26+D27+D28</f>
        <v>0</v>
      </c>
      <c r="E22" s="374">
        <f aca="true" t="shared" si="18" ref="E22:O22">E23+E26+E27+E28</f>
        <v>0</v>
      </c>
      <c r="F22" s="374">
        <f t="shared" si="18"/>
        <v>0</v>
      </c>
      <c r="G22" s="374">
        <f t="shared" si="18"/>
        <v>0</v>
      </c>
      <c r="H22" s="374">
        <f t="shared" si="18"/>
        <v>0</v>
      </c>
      <c r="I22" s="374">
        <f t="shared" si="18"/>
        <v>0</v>
      </c>
      <c r="J22" s="374">
        <f t="shared" si="18"/>
        <v>0</v>
      </c>
      <c r="K22" s="374">
        <f t="shared" si="18"/>
        <v>0</v>
      </c>
      <c r="L22" s="374">
        <f t="shared" si="18"/>
        <v>0</v>
      </c>
      <c r="M22" s="374">
        <f t="shared" si="18"/>
        <v>0</v>
      </c>
      <c r="N22" s="374">
        <f t="shared" si="18"/>
        <v>0</v>
      </c>
      <c r="O22" s="374">
        <f t="shared" si="18"/>
        <v>0</v>
      </c>
      <c r="P22" s="375">
        <f t="shared" si="17"/>
        <v>0</v>
      </c>
      <c r="Q22" s="318"/>
      <c r="R22" s="318"/>
      <c r="S22" s="249" t="s">
        <v>18</v>
      </c>
      <c r="T22" s="250">
        <v>147.4</v>
      </c>
      <c r="U22" s="250">
        <v>148.4</v>
      </c>
      <c r="V22" s="285">
        <f>V23/V21*10</f>
        <v>143.80892221247967</v>
      </c>
      <c r="W22" s="260">
        <v>147.6</v>
      </c>
      <c r="X22" s="260">
        <v>158.3</v>
      </c>
      <c r="Y22" s="260">
        <v>91</v>
      </c>
      <c r="Z22" s="260"/>
      <c r="AA22" s="260">
        <v>209</v>
      </c>
      <c r="AB22" s="260"/>
      <c r="AC22" s="260">
        <v>135</v>
      </c>
      <c r="AD22" s="260">
        <v>96</v>
      </c>
      <c r="AE22" s="260">
        <v>145</v>
      </c>
      <c r="AF22" s="260">
        <v>80.6</v>
      </c>
      <c r="AG22" s="260">
        <v>60</v>
      </c>
      <c r="AH22" s="251"/>
      <c r="AI22" s="252">
        <f t="shared" si="4"/>
        <v>96.9062818143394</v>
      </c>
      <c r="AJ22" s="253">
        <f t="shared" si="5"/>
        <v>97.56371927576639</v>
      </c>
    </row>
    <row r="23" spans="1:36" ht="15.75">
      <c r="A23" s="99" t="s">
        <v>186</v>
      </c>
      <c r="B23" s="96">
        <v>2877</v>
      </c>
      <c r="C23" s="372">
        <f t="shared" si="16"/>
        <v>0</v>
      </c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376">
        <f t="shared" si="17"/>
        <v>0</v>
      </c>
      <c r="Q23" s="318"/>
      <c r="R23" s="318"/>
      <c r="S23" s="249" t="s">
        <v>19</v>
      </c>
      <c r="T23" s="250">
        <v>174882.2</v>
      </c>
      <c r="U23" s="250">
        <v>167496</v>
      </c>
      <c r="V23" s="250">
        <f aca="true" t="shared" si="19" ref="V23:V28">SUM(W23:AH23)</f>
        <v>160729.48</v>
      </c>
      <c r="W23" s="260">
        <f>W22*W21/10</f>
        <v>3501.071999999999</v>
      </c>
      <c r="X23" s="260">
        <f aca="true" t="shared" si="20" ref="X23:AG23">X22*X21/10</f>
        <v>41791.200000000004</v>
      </c>
      <c r="Y23" s="260">
        <f t="shared" si="20"/>
        <v>63.7</v>
      </c>
      <c r="Z23" s="260"/>
      <c r="AA23" s="260">
        <f t="shared" si="20"/>
        <v>3448.5</v>
      </c>
      <c r="AB23" s="260"/>
      <c r="AC23" s="260">
        <f>AC22*AC21/10</f>
        <v>21.6</v>
      </c>
      <c r="AD23" s="260">
        <f t="shared" si="20"/>
        <v>4492.8</v>
      </c>
      <c r="AE23" s="260">
        <f t="shared" si="20"/>
        <v>103051.5</v>
      </c>
      <c r="AF23" s="260">
        <f t="shared" si="20"/>
        <v>4125.107999999999</v>
      </c>
      <c r="AG23" s="260">
        <f t="shared" si="20"/>
        <v>234</v>
      </c>
      <c r="AH23" s="260"/>
      <c r="AI23" s="252">
        <f t="shared" si="4"/>
        <v>95.9601900940918</v>
      </c>
      <c r="AJ23" s="253">
        <f t="shared" si="5"/>
        <v>91.90728387451668</v>
      </c>
    </row>
    <row r="24" spans="1:36" ht="15.75">
      <c r="A24" s="25" t="s">
        <v>188</v>
      </c>
      <c r="B24" s="26"/>
      <c r="C24" s="372">
        <f t="shared" si="16"/>
        <v>0</v>
      </c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376" t="e">
        <f t="shared" si="17"/>
        <v>#DIV/0!</v>
      </c>
      <c r="Q24" s="318"/>
      <c r="R24" s="318"/>
      <c r="S24" s="280" t="s">
        <v>45</v>
      </c>
      <c r="T24" s="250">
        <v>287</v>
      </c>
      <c r="U24" s="250">
        <v>443.7</v>
      </c>
      <c r="V24" s="250">
        <f t="shared" si="19"/>
        <v>813.7</v>
      </c>
      <c r="W24" s="251">
        <v>38.6</v>
      </c>
      <c r="X24" s="251">
        <v>93</v>
      </c>
      <c r="Y24" s="251"/>
      <c r="Z24" s="251"/>
      <c r="AA24" s="251">
        <v>61.8</v>
      </c>
      <c r="AB24" s="251"/>
      <c r="AC24" s="251"/>
      <c r="AD24" s="251">
        <v>8.3</v>
      </c>
      <c r="AE24" s="251">
        <v>610</v>
      </c>
      <c r="AF24" s="251"/>
      <c r="AG24" s="251">
        <v>2</v>
      </c>
      <c r="AH24" s="251"/>
      <c r="AI24" s="252">
        <f t="shared" si="4"/>
        <v>183.38967771016453</v>
      </c>
      <c r="AJ24" s="253">
        <f t="shared" si="5"/>
        <v>283.5191637630662</v>
      </c>
    </row>
    <row r="25" spans="1:36" ht="15.75">
      <c r="A25" s="25" t="s">
        <v>189</v>
      </c>
      <c r="B25" s="26"/>
      <c r="C25" s="372">
        <f t="shared" si="16"/>
        <v>0</v>
      </c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376" t="e">
        <f t="shared" si="17"/>
        <v>#DIV/0!</v>
      </c>
      <c r="Q25" s="318"/>
      <c r="R25" s="318"/>
      <c r="S25" s="255" t="s">
        <v>157</v>
      </c>
      <c r="T25" s="256">
        <v>26198.1</v>
      </c>
      <c r="U25" s="256">
        <v>25453.7</v>
      </c>
      <c r="V25" s="283">
        <f t="shared" si="19"/>
        <v>23034.7</v>
      </c>
      <c r="W25" s="286"/>
      <c r="X25" s="286"/>
      <c r="Y25" s="286">
        <f>Y26+Y27</f>
        <v>293</v>
      </c>
      <c r="Z25" s="286"/>
      <c r="AA25" s="286"/>
      <c r="AB25" s="286"/>
      <c r="AC25" s="286"/>
      <c r="AD25" s="286"/>
      <c r="AE25" s="286">
        <f>AE26+AE27</f>
        <v>200</v>
      </c>
      <c r="AF25" s="287">
        <f>AF26+AF27</f>
        <v>9918.2</v>
      </c>
      <c r="AG25" s="286">
        <f>AG26+AG27</f>
        <v>6449.3</v>
      </c>
      <c r="AH25" s="286">
        <f>AH26+AH27</f>
        <v>6174.2</v>
      </c>
      <c r="AI25" s="259">
        <f t="shared" si="4"/>
        <v>90.49647006132705</v>
      </c>
      <c r="AJ25" s="253">
        <f>V25/T25*100</f>
        <v>87.92507853622973</v>
      </c>
    </row>
    <row r="26" spans="1:36" ht="15.75">
      <c r="A26" s="25" t="s">
        <v>187</v>
      </c>
      <c r="B26" s="26">
        <v>66</v>
      </c>
      <c r="C26" s="372">
        <f t="shared" si="16"/>
        <v>0</v>
      </c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376">
        <f t="shared" si="17"/>
        <v>0</v>
      </c>
      <c r="Q26" s="318"/>
      <c r="R26" s="318"/>
      <c r="S26" s="280" t="s">
        <v>52</v>
      </c>
      <c r="T26" s="250">
        <v>19355.6</v>
      </c>
      <c r="U26" s="250">
        <v>18611.2</v>
      </c>
      <c r="V26" s="288">
        <f t="shared" si="19"/>
        <v>15252.7</v>
      </c>
      <c r="W26" s="289"/>
      <c r="X26" s="289"/>
      <c r="Y26" s="289">
        <v>278</v>
      </c>
      <c r="Z26" s="289"/>
      <c r="AA26" s="289"/>
      <c r="AB26" s="289"/>
      <c r="AC26" s="289"/>
      <c r="AD26" s="289"/>
      <c r="AE26" s="289">
        <v>200</v>
      </c>
      <c r="AF26" s="290">
        <v>7487.6</v>
      </c>
      <c r="AG26" s="289">
        <f>3660.6-AG33</f>
        <v>3289.9</v>
      </c>
      <c r="AH26" s="289">
        <f>3863+134.2</f>
        <v>3997.2</v>
      </c>
      <c r="AI26" s="252">
        <f t="shared" si="4"/>
        <v>81.95441454607978</v>
      </c>
      <c r="AJ26" s="253">
        <f>V26/T26*100</f>
        <v>78.80251710099404</v>
      </c>
    </row>
    <row r="27" spans="1:36" ht="15.75">
      <c r="A27" s="25" t="s">
        <v>200</v>
      </c>
      <c r="B27" s="26">
        <v>4129</v>
      </c>
      <c r="C27" s="372">
        <f t="shared" si="16"/>
        <v>0</v>
      </c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376">
        <f t="shared" si="17"/>
        <v>0</v>
      </c>
      <c r="Q27" s="318"/>
      <c r="R27" s="318"/>
      <c r="S27" s="280" t="s">
        <v>53</v>
      </c>
      <c r="T27" s="250">
        <v>6842.5</v>
      </c>
      <c r="U27" s="250">
        <v>6842.5</v>
      </c>
      <c r="V27" s="251">
        <f t="shared" si="19"/>
        <v>7782</v>
      </c>
      <c r="W27" s="289"/>
      <c r="X27" s="289"/>
      <c r="Y27" s="289">
        <v>15</v>
      </c>
      <c r="Z27" s="289"/>
      <c r="AA27" s="289"/>
      <c r="AB27" s="289"/>
      <c r="AC27" s="289"/>
      <c r="AD27" s="289"/>
      <c r="AE27" s="289"/>
      <c r="AF27" s="289">
        <v>2430.6</v>
      </c>
      <c r="AG27" s="289">
        <v>3159.4</v>
      </c>
      <c r="AH27" s="289">
        <v>2177</v>
      </c>
      <c r="AI27" s="252">
        <f t="shared" si="4"/>
        <v>113.73036170990136</v>
      </c>
      <c r="AJ27" s="253">
        <f aca="true" t="shared" si="21" ref="AJ27:AJ43">V27/T27*100</f>
        <v>113.73036170990136</v>
      </c>
    </row>
    <row r="28" spans="1:36" ht="15.75">
      <c r="A28" s="99" t="s">
        <v>199</v>
      </c>
      <c r="B28" s="97">
        <v>0</v>
      </c>
      <c r="C28" s="372">
        <f>SUM(D28:O28)</f>
        <v>0</v>
      </c>
      <c r="D28" s="233"/>
      <c r="E28" s="233"/>
      <c r="F28" s="233"/>
      <c r="G28" s="233"/>
      <c r="H28" s="235"/>
      <c r="I28" s="235"/>
      <c r="J28" s="377"/>
      <c r="K28" s="378"/>
      <c r="L28" s="235"/>
      <c r="M28" s="235"/>
      <c r="N28" s="235"/>
      <c r="O28" s="235"/>
      <c r="P28" s="376" t="e">
        <f t="shared" si="17"/>
        <v>#DIV/0!</v>
      </c>
      <c r="Q28" s="318"/>
      <c r="R28" s="318"/>
      <c r="S28" s="291" t="s">
        <v>42</v>
      </c>
      <c r="T28" s="250">
        <v>21073</v>
      </c>
      <c r="U28" s="250">
        <v>19908</v>
      </c>
      <c r="V28" s="251">
        <f t="shared" si="19"/>
        <v>22747.6</v>
      </c>
      <c r="W28" s="289"/>
      <c r="X28" s="289"/>
      <c r="Y28" s="289">
        <v>278</v>
      </c>
      <c r="Z28" s="289"/>
      <c r="AA28" s="289"/>
      <c r="AB28" s="289"/>
      <c r="AC28" s="289"/>
      <c r="AD28" s="289"/>
      <c r="AE28" s="289">
        <v>200</v>
      </c>
      <c r="AF28" s="289">
        <v>9946.6</v>
      </c>
      <c r="AG28" s="289">
        <v>6750</v>
      </c>
      <c r="AH28" s="289">
        <v>5573</v>
      </c>
      <c r="AI28" s="252">
        <f t="shared" si="4"/>
        <v>114.26361261804298</v>
      </c>
      <c r="AJ28" s="253">
        <f t="shared" si="21"/>
        <v>107.94666160489726</v>
      </c>
    </row>
    <row r="29" spans="1:36" ht="15.75">
      <c r="A29" s="49" t="s">
        <v>201</v>
      </c>
      <c r="B29" s="51"/>
      <c r="C29" s="51">
        <f t="shared" si="16"/>
        <v>29972.6</v>
      </c>
      <c r="D29" s="50">
        <v>703.6</v>
      </c>
      <c r="E29" s="50">
        <v>1535</v>
      </c>
      <c r="F29" s="50">
        <v>2127</v>
      </c>
      <c r="G29" s="50">
        <v>1588</v>
      </c>
      <c r="H29" s="50">
        <v>3980.7</v>
      </c>
      <c r="I29" s="50">
        <v>1314.3</v>
      </c>
      <c r="J29" s="50">
        <v>1618</v>
      </c>
      <c r="K29" s="50">
        <v>9975</v>
      </c>
      <c r="L29" s="50">
        <v>6381</v>
      </c>
      <c r="M29" s="50">
        <v>200</v>
      </c>
      <c r="N29" s="50">
        <v>330</v>
      </c>
      <c r="O29" s="50">
        <v>220</v>
      </c>
      <c r="P29" s="52" t="e">
        <f t="shared" si="17"/>
        <v>#DIV/0!</v>
      </c>
      <c r="Q29" s="321"/>
      <c r="R29" s="318"/>
      <c r="S29" s="249" t="s">
        <v>18</v>
      </c>
      <c r="T29" s="250">
        <v>8.1</v>
      </c>
      <c r="U29" s="250">
        <v>9.2</v>
      </c>
      <c r="V29" s="250">
        <f>V30/V28*10</f>
        <v>8.413181170760872</v>
      </c>
      <c r="W29" s="289"/>
      <c r="X29" s="289"/>
      <c r="Y29" s="289">
        <v>7</v>
      </c>
      <c r="Z29" s="289"/>
      <c r="AA29" s="289"/>
      <c r="AB29" s="289"/>
      <c r="AC29" s="289"/>
      <c r="AD29" s="289"/>
      <c r="AE29" s="289">
        <v>6.5</v>
      </c>
      <c r="AF29" s="289">
        <v>9.8</v>
      </c>
      <c r="AG29" s="289">
        <v>6</v>
      </c>
      <c r="AH29" s="289">
        <v>9</v>
      </c>
      <c r="AI29" s="252">
        <f t="shared" si="4"/>
        <v>91.44762142131383</v>
      </c>
      <c r="AJ29" s="253">
        <f t="shared" si="21"/>
        <v>103.86643420692434</v>
      </c>
    </row>
    <row r="30" spans="1:36" ht="15.75">
      <c r="A30" s="21" t="s">
        <v>125</v>
      </c>
      <c r="B30" s="23">
        <v>11135.1</v>
      </c>
      <c r="C30" s="22">
        <f t="shared" si="16"/>
        <v>11142.05</v>
      </c>
      <c r="D30" s="128">
        <v>236.85</v>
      </c>
      <c r="E30" s="128">
        <v>2505</v>
      </c>
      <c r="F30" s="128">
        <v>7</v>
      </c>
      <c r="G30" s="128"/>
      <c r="H30" s="128">
        <v>165</v>
      </c>
      <c r="I30" s="128"/>
      <c r="J30" s="128">
        <v>1.6</v>
      </c>
      <c r="K30" s="128">
        <v>505.6</v>
      </c>
      <c r="L30" s="128">
        <v>7150</v>
      </c>
      <c r="M30" s="128">
        <v>532</v>
      </c>
      <c r="N30" s="128">
        <v>39</v>
      </c>
      <c r="O30" s="128"/>
      <c r="P30" s="24">
        <f t="shared" si="17"/>
        <v>100.06241524548498</v>
      </c>
      <c r="Q30" s="318" t="s">
        <v>302</v>
      </c>
      <c r="R30" s="320">
        <f>C30-V20</f>
        <v>-145.35000000000036</v>
      </c>
      <c r="S30" s="249" t="s">
        <v>19</v>
      </c>
      <c r="T30" s="250">
        <v>17167.8</v>
      </c>
      <c r="U30" s="250">
        <v>18278.1</v>
      </c>
      <c r="V30" s="250">
        <f aca="true" t="shared" si="22" ref="V30:V35">SUM(W30:AH30)</f>
        <v>19137.968</v>
      </c>
      <c r="W30" s="289"/>
      <c r="X30" s="289"/>
      <c r="Y30" s="289">
        <f aca="true" t="shared" si="23" ref="Y30:AH30">Y29*Y28/10</f>
        <v>194.6</v>
      </c>
      <c r="Z30" s="289"/>
      <c r="AA30" s="289"/>
      <c r="AB30" s="289"/>
      <c r="AC30" s="289"/>
      <c r="AD30" s="289"/>
      <c r="AE30" s="289">
        <f t="shared" si="23"/>
        <v>130</v>
      </c>
      <c r="AF30" s="289">
        <f t="shared" si="23"/>
        <v>9747.668000000001</v>
      </c>
      <c r="AG30" s="289">
        <f t="shared" si="23"/>
        <v>4050</v>
      </c>
      <c r="AH30" s="289">
        <f t="shared" si="23"/>
        <v>5015.7</v>
      </c>
      <c r="AI30" s="252">
        <f t="shared" si="4"/>
        <v>104.70436205076021</v>
      </c>
      <c r="AJ30" s="253">
        <f t="shared" si="21"/>
        <v>111.47594916063794</v>
      </c>
    </row>
    <row r="31" spans="1:36" ht="15.75">
      <c r="A31" s="99" t="s">
        <v>87</v>
      </c>
      <c r="B31" s="96">
        <v>11089.5</v>
      </c>
      <c r="C31" s="97">
        <f t="shared" si="16"/>
        <v>11038.250000000002</v>
      </c>
      <c r="D31" s="192">
        <v>236.85</v>
      </c>
      <c r="E31" s="192">
        <v>2505</v>
      </c>
      <c r="F31" s="192">
        <v>7</v>
      </c>
      <c r="G31" s="192"/>
      <c r="H31" s="192">
        <v>164</v>
      </c>
      <c r="I31" s="192"/>
      <c r="J31" s="192">
        <v>1.6</v>
      </c>
      <c r="K31" s="192">
        <v>468</v>
      </c>
      <c r="L31" s="192">
        <v>7107</v>
      </c>
      <c r="M31" s="192">
        <v>511.7</v>
      </c>
      <c r="N31" s="192">
        <v>37.1</v>
      </c>
      <c r="O31" s="192">
        <v>0</v>
      </c>
      <c r="P31" s="98">
        <f t="shared" si="17"/>
        <v>99.53785112042925</v>
      </c>
      <c r="Q31" s="321"/>
      <c r="R31" s="318"/>
      <c r="S31" s="249" t="s">
        <v>43</v>
      </c>
      <c r="T31" s="250">
        <v>16</v>
      </c>
      <c r="U31" s="250">
        <v>0</v>
      </c>
      <c r="V31" s="250">
        <f t="shared" si="22"/>
        <v>70</v>
      </c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>
        <v>70</v>
      </c>
      <c r="AI31" s="252"/>
      <c r="AJ31" s="253">
        <f t="shared" si="21"/>
        <v>437.5</v>
      </c>
    </row>
    <row r="32" spans="1:36" ht="15.75">
      <c r="A32" s="99" t="s">
        <v>84</v>
      </c>
      <c r="B32" s="96">
        <v>150</v>
      </c>
      <c r="C32" s="100">
        <f>(C33/C31*10)*12</f>
        <v>148.7038978098883</v>
      </c>
      <c r="D32" s="192">
        <v>148</v>
      </c>
      <c r="E32" s="192">
        <v>155</v>
      </c>
      <c r="F32" s="192">
        <v>100</v>
      </c>
      <c r="G32" s="192"/>
      <c r="H32" s="192">
        <v>215</v>
      </c>
      <c r="I32" s="192"/>
      <c r="J32" s="192">
        <v>135</v>
      </c>
      <c r="K32" s="192">
        <v>125</v>
      </c>
      <c r="L32" s="192">
        <v>152</v>
      </c>
      <c r="M32" s="192">
        <v>80</v>
      </c>
      <c r="N32" s="192">
        <v>60</v>
      </c>
      <c r="O32" s="365"/>
      <c r="P32" s="27">
        <f t="shared" si="17"/>
        <v>99.13593187325887</v>
      </c>
      <c r="Q32" s="321"/>
      <c r="R32" s="318"/>
      <c r="S32" s="249" t="s">
        <v>44</v>
      </c>
      <c r="T32" s="292">
        <v>0</v>
      </c>
      <c r="U32" s="250">
        <v>0</v>
      </c>
      <c r="V32" s="250">
        <f t="shared" si="22"/>
        <v>0</v>
      </c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52"/>
      <c r="AJ32" s="253"/>
    </row>
    <row r="33" spans="1:36" ht="15.75">
      <c r="A33" s="99" t="s">
        <v>85</v>
      </c>
      <c r="B33" s="46">
        <v>166295.6</v>
      </c>
      <c r="C33" s="26">
        <f>SUM(D33:O33)</f>
        <v>13678.589999999998</v>
      </c>
      <c r="D33" s="46">
        <f>(D32*D31/10)/12</f>
        <v>292.11499999999995</v>
      </c>
      <c r="E33" s="46">
        <f>(E32*E31/10)/12</f>
        <v>3235.625</v>
      </c>
      <c r="F33" s="46">
        <f>(F32*F31/10)/12</f>
        <v>5.833333333333333</v>
      </c>
      <c r="G33" s="46"/>
      <c r="H33" s="46">
        <f>(H32*H31/10)/12</f>
        <v>293.8333333333333</v>
      </c>
      <c r="I33" s="46"/>
      <c r="J33" s="46">
        <f>(J32*J31/10)/12</f>
        <v>1.8</v>
      </c>
      <c r="K33" s="46">
        <f>(K32*K31/10)/12</f>
        <v>487.5</v>
      </c>
      <c r="L33" s="46">
        <f>(L32*L31/10)/12</f>
        <v>9002.199999999999</v>
      </c>
      <c r="M33" s="46">
        <f>(M32*M31/10)/12</f>
        <v>341.1333333333333</v>
      </c>
      <c r="N33" s="46">
        <f>(N32*N31/10)/12</f>
        <v>18.55</v>
      </c>
      <c r="O33" s="46"/>
      <c r="P33" s="27">
        <f t="shared" si="17"/>
        <v>8.22546718012984</v>
      </c>
      <c r="Q33" s="318"/>
      <c r="R33" s="318"/>
      <c r="S33" s="291" t="s">
        <v>183</v>
      </c>
      <c r="T33" s="293">
        <v>1869.8</v>
      </c>
      <c r="U33" s="250">
        <v>624.1</v>
      </c>
      <c r="V33" s="250">
        <f t="shared" si="22"/>
        <v>995.5999999999999</v>
      </c>
      <c r="W33" s="251"/>
      <c r="X33" s="251"/>
      <c r="Y33" s="251">
        <v>45</v>
      </c>
      <c r="Z33" s="251"/>
      <c r="AA33" s="251"/>
      <c r="AB33" s="251"/>
      <c r="AC33" s="251"/>
      <c r="AD33" s="251"/>
      <c r="AE33" s="251"/>
      <c r="AF33" s="251">
        <v>279.9</v>
      </c>
      <c r="AG33" s="251">
        <v>370.7</v>
      </c>
      <c r="AH33" s="251">
        <v>300</v>
      </c>
      <c r="AI33" s="252">
        <f t="shared" si="4"/>
        <v>159.5257170325268</v>
      </c>
      <c r="AJ33" s="253">
        <f t="shared" si="21"/>
        <v>53.24633650657824</v>
      </c>
    </row>
    <row r="34" spans="1:36" ht="15.75">
      <c r="A34" s="99" t="s">
        <v>45</v>
      </c>
      <c r="B34" s="26"/>
      <c r="C34" s="26">
        <f>SUM(D34:O34)</f>
        <v>0</v>
      </c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7" t="e">
        <f t="shared" si="17"/>
        <v>#DIV/0!</v>
      </c>
      <c r="Q34" s="318"/>
      <c r="R34" s="318"/>
      <c r="S34" s="255" t="s">
        <v>158</v>
      </c>
      <c r="T34" s="256">
        <v>2209.8</v>
      </c>
      <c r="U34" s="256">
        <v>2209.8</v>
      </c>
      <c r="V34" s="257">
        <f t="shared" si="22"/>
        <v>2002.0700000000002</v>
      </c>
      <c r="W34" s="258"/>
      <c r="X34" s="256">
        <v>78.3</v>
      </c>
      <c r="Y34" s="256">
        <v>95</v>
      </c>
      <c r="Z34" s="256"/>
      <c r="AA34" s="257">
        <v>363.6</v>
      </c>
      <c r="AB34" s="256">
        <v>5.5</v>
      </c>
      <c r="AC34" s="258">
        <v>454</v>
      </c>
      <c r="AD34" s="256">
        <v>670.47</v>
      </c>
      <c r="AE34" s="256">
        <v>200</v>
      </c>
      <c r="AF34" s="256">
        <v>36.6</v>
      </c>
      <c r="AG34" s="258">
        <v>60.4</v>
      </c>
      <c r="AH34" s="258">
        <v>38.2</v>
      </c>
      <c r="AI34" s="259">
        <f t="shared" si="4"/>
        <v>90.59960177391619</v>
      </c>
      <c r="AJ34" s="294">
        <f t="shared" si="21"/>
        <v>90.59960177391619</v>
      </c>
    </row>
    <row r="35" spans="1:36" ht="15.75">
      <c r="A35" s="394" t="s">
        <v>101</v>
      </c>
      <c r="B35" s="395"/>
      <c r="C35" s="395">
        <f>SUM(D35:O35)</f>
        <v>3788.6</v>
      </c>
      <c r="D35" s="396">
        <v>40</v>
      </c>
      <c r="E35" s="396">
        <v>2505</v>
      </c>
      <c r="F35" s="396"/>
      <c r="G35" s="396"/>
      <c r="H35" s="396"/>
      <c r="I35" s="396"/>
      <c r="J35" s="396">
        <v>1.6</v>
      </c>
      <c r="K35" s="396">
        <v>174</v>
      </c>
      <c r="L35" s="396">
        <v>1029</v>
      </c>
      <c r="M35" s="396"/>
      <c r="N35" s="396">
        <v>39</v>
      </c>
      <c r="O35" s="396"/>
      <c r="P35" s="397" t="e">
        <f t="shared" si="17"/>
        <v>#DIV/0!</v>
      </c>
      <c r="Q35" s="318"/>
      <c r="R35" s="318"/>
      <c r="S35" s="249" t="s">
        <v>42</v>
      </c>
      <c r="T35" s="250">
        <v>1525.1</v>
      </c>
      <c r="U35" s="250">
        <v>1852.4</v>
      </c>
      <c r="V35" s="269">
        <f t="shared" si="22"/>
        <v>1978.8</v>
      </c>
      <c r="W35" s="251"/>
      <c r="X35" s="250">
        <v>64.9</v>
      </c>
      <c r="Y35" s="250">
        <v>92.6</v>
      </c>
      <c r="Z35" s="250"/>
      <c r="AA35" s="263">
        <v>363.6</v>
      </c>
      <c r="AB35" s="250">
        <v>5.5</v>
      </c>
      <c r="AC35" s="251">
        <v>451</v>
      </c>
      <c r="AD35" s="250">
        <v>666</v>
      </c>
      <c r="AE35" s="250">
        <v>200</v>
      </c>
      <c r="AF35" s="250">
        <v>36.6</v>
      </c>
      <c r="AG35" s="251">
        <v>60.4</v>
      </c>
      <c r="AH35" s="251">
        <v>38.2</v>
      </c>
      <c r="AI35" s="252">
        <f t="shared" si="4"/>
        <v>106.8235802202548</v>
      </c>
      <c r="AJ35" s="253">
        <f t="shared" si="21"/>
        <v>129.74886892662775</v>
      </c>
    </row>
    <row r="36" spans="1:36" ht="15.75">
      <c r="A36" s="398" t="s">
        <v>232</v>
      </c>
      <c r="B36" s="395"/>
      <c r="C36" s="395">
        <f>SUM(D36:O36)</f>
        <v>3719.7</v>
      </c>
      <c r="D36" s="396">
        <v>40</v>
      </c>
      <c r="E36" s="396">
        <v>2505</v>
      </c>
      <c r="F36" s="396"/>
      <c r="G36" s="396"/>
      <c r="H36" s="396"/>
      <c r="I36" s="396"/>
      <c r="J36" s="396">
        <v>1.6</v>
      </c>
      <c r="K36" s="396">
        <v>150</v>
      </c>
      <c r="L36" s="396">
        <v>986</v>
      </c>
      <c r="M36" s="396"/>
      <c r="N36" s="396">
        <v>37.1</v>
      </c>
      <c r="O36" s="396"/>
      <c r="P36" s="397" t="e">
        <f t="shared" si="17"/>
        <v>#DIV/0!</v>
      </c>
      <c r="Q36" s="318"/>
      <c r="R36" s="318"/>
      <c r="S36" s="249" t="s">
        <v>18</v>
      </c>
      <c r="T36" s="250">
        <v>33.8</v>
      </c>
      <c r="U36" s="250">
        <v>34</v>
      </c>
      <c r="V36" s="263">
        <f>V37/V35*10</f>
        <v>31.54952092177077</v>
      </c>
      <c r="W36" s="251"/>
      <c r="X36" s="250">
        <v>35.08</v>
      </c>
      <c r="Y36" s="250">
        <v>28</v>
      </c>
      <c r="Z36" s="250"/>
      <c r="AA36" s="263">
        <v>37</v>
      </c>
      <c r="AB36" s="250">
        <v>24</v>
      </c>
      <c r="AC36" s="251">
        <v>26.5</v>
      </c>
      <c r="AD36" s="250">
        <v>35</v>
      </c>
      <c r="AE36" s="250">
        <v>28</v>
      </c>
      <c r="AF36" s="250">
        <v>13</v>
      </c>
      <c r="AG36" s="251">
        <v>28.5</v>
      </c>
      <c r="AH36" s="251">
        <v>24</v>
      </c>
      <c r="AI36" s="252">
        <f t="shared" si="4"/>
        <v>92.79270859344344</v>
      </c>
      <c r="AJ36" s="253">
        <f t="shared" si="21"/>
        <v>93.34177787506147</v>
      </c>
    </row>
    <row r="37" spans="1:36" ht="15.75">
      <c r="A37" s="398" t="s">
        <v>233</v>
      </c>
      <c r="B37" s="395"/>
      <c r="C37" s="395">
        <f>C38/C36*10</f>
        <v>153.2663924510041</v>
      </c>
      <c r="D37" s="396">
        <v>140</v>
      </c>
      <c r="E37" s="396">
        <v>155</v>
      </c>
      <c r="F37" s="396"/>
      <c r="G37" s="396"/>
      <c r="H37" s="396"/>
      <c r="I37" s="396"/>
      <c r="J37" s="396">
        <v>135</v>
      </c>
      <c r="K37" s="396">
        <v>120</v>
      </c>
      <c r="L37" s="396">
        <v>158</v>
      </c>
      <c r="M37" s="396"/>
      <c r="N37" s="396">
        <v>60</v>
      </c>
      <c r="O37" s="396"/>
      <c r="P37" s="397" t="e">
        <f t="shared" si="17"/>
        <v>#DIV/0!</v>
      </c>
      <c r="Q37" s="318"/>
      <c r="R37" s="318"/>
      <c r="S37" s="249" t="s">
        <v>19</v>
      </c>
      <c r="T37" s="250">
        <v>5154.3</v>
      </c>
      <c r="U37" s="250">
        <v>6300.4</v>
      </c>
      <c r="V37" s="250">
        <f>SUM(W37:AH37)</f>
        <v>6243.019200000001</v>
      </c>
      <c r="W37" s="251"/>
      <c r="X37" s="251">
        <f aca="true" t="shared" si="24" ref="X37:AH37">X36*X35/10</f>
        <v>227.6692</v>
      </c>
      <c r="Y37" s="251">
        <f t="shared" si="24"/>
        <v>259.28</v>
      </c>
      <c r="Z37" s="251"/>
      <c r="AA37" s="251">
        <f t="shared" si="24"/>
        <v>1345.3200000000002</v>
      </c>
      <c r="AB37" s="251">
        <f t="shared" si="24"/>
        <v>13.2</v>
      </c>
      <c r="AC37" s="251">
        <f t="shared" si="24"/>
        <v>1195.15</v>
      </c>
      <c r="AD37" s="251">
        <f t="shared" si="24"/>
        <v>2331</v>
      </c>
      <c r="AE37" s="251">
        <f t="shared" si="24"/>
        <v>560</v>
      </c>
      <c r="AF37" s="251">
        <f t="shared" si="24"/>
        <v>47.58</v>
      </c>
      <c r="AG37" s="251">
        <f t="shared" si="24"/>
        <v>172.14</v>
      </c>
      <c r="AH37" s="251">
        <f t="shared" si="24"/>
        <v>91.68</v>
      </c>
      <c r="AI37" s="252">
        <f t="shared" si="4"/>
        <v>99.08925147609678</v>
      </c>
      <c r="AJ37" s="253">
        <f t="shared" si="21"/>
        <v>121.12254234328618</v>
      </c>
    </row>
    <row r="38" spans="1:36" ht="15.75">
      <c r="A38" s="398" t="s">
        <v>234</v>
      </c>
      <c r="B38" s="395"/>
      <c r="C38" s="395">
        <f>SUM(D38:O38)</f>
        <v>57010.49999999999</v>
      </c>
      <c r="D38" s="396">
        <f>D37*D36/10</f>
        <v>560</v>
      </c>
      <c r="E38" s="396">
        <f aca="true" t="shared" si="25" ref="E38:O38">E37*E36/10</f>
        <v>38827.5</v>
      </c>
      <c r="F38" s="396">
        <f t="shared" si="25"/>
        <v>0</v>
      </c>
      <c r="G38" s="396">
        <f t="shared" si="25"/>
        <v>0</v>
      </c>
      <c r="H38" s="396">
        <f t="shared" si="25"/>
        <v>0</v>
      </c>
      <c r="I38" s="396">
        <f t="shared" si="25"/>
        <v>0</v>
      </c>
      <c r="J38" s="396">
        <f t="shared" si="25"/>
        <v>21.6</v>
      </c>
      <c r="K38" s="396">
        <f t="shared" si="25"/>
        <v>1800</v>
      </c>
      <c r="L38" s="396">
        <f t="shared" si="25"/>
        <v>15578.8</v>
      </c>
      <c r="M38" s="396">
        <f t="shared" si="25"/>
        <v>0</v>
      </c>
      <c r="N38" s="396">
        <f t="shared" si="25"/>
        <v>222.6</v>
      </c>
      <c r="O38" s="396">
        <f t="shared" si="25"/>
        <v>0</v>
      </c>
      <c r="P38" s="397" t="e">
        <f t="shared" si="17"/>
        <v>#DIV/0!</v>
      </c>
      <c r="Q38" s="318"/>
      <c r="R38" s="318"/>
      <c r="S38" s="280" t="s">
        <v>45</v>
      </c>
      <c r="T38" s="250">
        <v>54.1</v>
      </c>
      <c r="U38" s="251">
        <v>0</v>
      </c>
      <c r="V38" s="250">
        <f>SUM(W38:AH38)</f>
        <v>35</v>
      </c>
      <c r="W38" s="251"/>
      <c r="X38" s="251"/>
      <c r="Y38" s="251">
        <v>20</v>
      </c>
      <c r="Z38" s="251"/>
      <c r="AA38" s="251"/>
      <c r="AB38" s="251"/>
      <c r="AC38" s="251">
        <v>6</v>
      </c>
      <c r="AD38" s="251">
        <v>8</v>
      </c>
      <c r="AE38" s="251"/>
      <c r="AF38" s="251"/>
      <c r="AG38" s="251"/>
      <c r="AH38" s="251">
        <v>1</v>
      </c>
      <c r="AI38" s="252"/>
      <c r="AJ38" s="253">
        <f t="shared" si="21"/>
        <v>64.69500924214418</v>
      </c>
    </row>
    <row r="39" spans="1:36" ht="15.75">
      <c r="A39" s="394" t="s">
        <v>102</v>
      </c>
      <c r="B39" s="395"/>
      <c r="C39" s="395">
        <f>SUM(D39:O39)</f>
        <v>4972</v>
      </c>
      <c r="D39" s="396">
        <v>184</v>
      </c>
      <c r="E39" s="396"/>
      <c r="F39" s="396"/>
      <c r="G39" s="396"/>
      <c r="H39" s="396">
        <v>165</v>
      </c>
      <c r="I39" s="396"/>
      <c r="J39" s="396"/>
      <c r="K39" s="396">
        <v>303</v>
      </c>
      <c r="L39" s="396">
        <v>4320</v>
      </c>
      <c r="M39" s="396"/>
      <c r="N39" s="396"/>
      <c r="O39" s="396"/>
      <c r="P39" s="397" t="e">
        <f t="shared" si="17"/>
        <v>#DIV/0!</v>
      </c>
      <c r="Q39" s="318"/>
      <c r="R39" s="318"/>
      <c r="S39" s="255" t="s">
        <v>159</v>
      </c>
      <c r="T39" s="256">
        <v>9257.8</v>
      </c>
      <c r="U39" s="256">
        <v>9480</v>
      </c>
      <c r="V39" s="257">
        <f>SUM(W39:AH39)</f>
        <v>9544.07</v>
      </c>
      <c r="W39" s="258"/>
      <c r="X39" s="256">
        <v>721.2</v>
      </c>
      <c r="Y39" s="256">
        <v>475</v>
      </c>
      <c r="Z39" s="256"/>
      <c r="AA39" s="266">
        <v>3478</v>
      </c>
      <c r="AB39" s="258">
        <v>4</v>
      </c>
      <c r="AC39" s="258">
        <v>1641.8</v>
      </c>
      <c r="AD39" s="256">
        <v>634.57</v>
      </c>
      <c r="AE39" s="258">
        <v>436</v>
      </c>
      <c r="AF39" s="283">
        <v>226.2</v>
      </c>
      <c r="AG39" s="258">
        <v>1683.3</v>
      </c>
      <c r="AH39" s="258">
        <v>244</v>
      </c>
      <c r="AI39" s="259">
        <f t="shared" si="4"/>
        <v>100.67584388185654</v>
      </c>
      <c r="AJ39" s="294">
        <f t="shared" si="21"/>
        <v>103.092203331245</v>
      </c>
    </row>
    <row r="40" spans="1:36" ht="15.75">
      <c r="A40" s="398" t="s">
        <v>232</v>
      </c>
      <c r="B40" s="395"/>
      <c r="C40" s="395">
        <f>SUM(D40:O40)</f>
        <v>4958</v>
      </c>
      <c r="D40" s="396">
        <v>184</v>
      </c>
      <c r="E40" s="396"/>
      <c r="F40" s="396"/>
      <c r="G40" s="396"/>
      <c r="H40" s="396">
        <v>164</v>
      </c>
      <c r="I40" s="396"/>
      <c r="J40" s="396"/>
      <c r="K40" s="396">
        <v>290</v>
      </c>
      <c r="L40" s="396">
        <v>4320</v>
      </c>
      <c r="M40" s="396"/>
      <c r="N40" s="396"/>
      <c r="O40" s="396"/>
      <c r="P40" s="397" t="e">
        <f t="shared" si="17"/>
        <v>#DIV/0!</v>
      </c>
      <c r="Q40" s="318"/>
      <c r="R40" s="318"/>
      <c r="S40" s="249" t="s">
        <v>42</v>
      </c>
      <c r="T40" s="250">
        <v>8063.2</v>
      </c>
      <c r="U40" s="250">
        <v>9227.8</v>
      </c>
      <c r="V40" s="263">
        <f>SUM(W40:AH40)</f>
        <v>9146.8</v>
      </c>
      <c r="W40" s="251"/>
      <c r="X40" s="250">
        <v>706.8</v>
      </c>
      <c r="Y40" s="250">
        <v>465</v>
      </c>
      <c r="Z40" s="250"/>
      <c r="AA40" s="269">
        <v>3300</v>
      </c>
      <c r="AB40" s="251">
        <v>3</v>
      </c>
      <c r="AC40" s="251">
        <v>1641.8</v>
      </c>
      <c r="AD40" s="250">
        <v>535</v>
      </c>
      <c r="AE40" s="251">
        <v>350</v>
      </c>
      <c r="AF40" s="288">
        <v>226.2</v>
      </c>
      <c r="AG40" s="251">
        <v>1675</v>
      </c>
      <c r="AH40" s="251">
        <v>244</v>
      </c>
      <c r="AI40" s="252">
        <f t="shared" si="4"/>
        <v>99.12221764667635</v>
      </c>
      <c r="AJ40" s="253">
        <f t="shared" si="21"/>
        <v>113.4388332175811</v>
      </c>
    </row>
    <row r="41" spans="1:36" ht="15.75">
      <c r="A41" s="398" t="s">
        <v>233</v>
      </c>
      <c r="B41" s="395"/>
      <c r="C41" s="395">
        <f>C42/C40*10</f>
        <v>161.83783783783784</v>
      </c>
      <c r="D41" s="396">
        <v>149</v>
      </c>
      <c r="E41" s="396"/>
      <c r="F41" s="396"/>
      <c r="G41" s="396"/>
      <c r="H41" s="396">
        <v>209</v>
      </c>
      <c r="I41" s="396"/>
      <c r="J41" s="396"/>
      <c r="K41" s="396">
        <v>126</v>
      </c>
      <c r="L41" s="396">
        <v>163</v>
      </c>
      <c r="M41" s="396"/>
      <c r="N41" s="396"/>
      <c r="O41" s="396"/>
      <c r="P41" s="397" t="e">
        <f t="shared" si="17"/>
        <v>#DIV/0!</v>
      </c>
      <c r="Q41" s="318"/>
      <c r="R41" s="318"/>
      <c r="S41" s="249" t="s">
        <v>18</v>
      </c>
      <c r="T41" s="250">
        <v>228.6</v>
      </c>
      <c r="U41" s="250">
        <v>236.4</v>
      </c>
      <c r="V41" s="263">
        <f>V42/V40*10</f>
        <v>261.5591529277999</v>
      </c>
      <c r="W41" s="251"/>
      <c r="X41" s="250">
        <v>208</v>
      </c>
      <c r="Y41" s="250">
        <v>187</v>
      </c>
      <c r="Z41" s="250"/>
      <c r="AA41" s="295">
        <v>260</v>
      </c>
      <c r="AB41" s="276">
        <v>200</v>
      </c>
      <c r="AC41" s="251">
        <v>355.2</v>
      </c>
      <c r="AD41" s="250">
        <v>372</v>
      </c>
      <c r="AE41" s="276">
        <v>220</v>
      </c>
      <c r="AF41" s="276">
        <v>206</v>
      </c>
      <c r="AG41" s="251">
        <v>214.7</v>
      </c>
      <c r="AH41" s="251">
        <v>141.2</v>
      </c>
      <c r="AI41" s="252">
        <f t="shared" si="4"/>
        <v>110.64261968181046</v>
      </c>
      <c r="AJ41" s="253">
        <f t="shared" si="21"/>
        <v>114.41782717751528</v>
      </c>
    </row>
    <row r="42" spans="1:36" ht="15.75">
      <c r="A42" s="398" t="s">
        <v>234</v>
      </c>
      <c r="B42" s="395"/>
      <c r="C42" s="395">
        <f>SUM(D42:O42)</f>
        <v>80239.2</v>
      </c>
      <c r="D42" s="396">
        <f>D41*D40/10</f>
        <v>2741.6</v>
      </c>
      <c r="E42" s="396">
        <f aca="true" t="shared" si="26" ref="E42:O42">E41*E40/10</f>
        <v>0</v>
      </c>
      <c r="F42" s="396">
        <f t="shared" si="26"/>
        <v>0</v>
      </c>
      <c r="G42" s="396">
        <f t="shared" si="26"/>
        <v>0</v>
      </c>
      <c r="H42" s="396">
        <f t="shared" si="26"/>
        <v>3427.6</v>
      </c>
      <c r="I42" s="396">
        <f t="shared" si="26"/>
        <v>0</v>
      </c>
      <c r="J42" s="396">
        <f t="shared" si="26"/>
        <v>0</v>
      </c>
      <c r="K42" s="396">
        <f t="shared" si="26"/>
        <v>3654</v>
      </c>
      <c r="L42" s="396">
        <f t="shared" si="26"/>
        <v>70416</v>
      </c>
      <c r="M42" s="396">
        <f t="shared" si="26"/>
        <v>0</v>
      </c>
      <c r="N42" s="396">
        <f t="shared" si="26"/>
        <v>0</v>
      </c>
      <c r="O42" s="396">
        <f t="shared" si="26"/>
        <v>0</v>
      </c>
      <c r="P42" s="397" t="e">
        <f t="shared" si="17"/>
        <v>#DIV/0!</v>
      </c>
      <c r="Q42" s="318"/>
      <c r="R42" s="318"/>
      <c r="S42" s="249" t="s">
        <v>19</v>
      </c>
      <c r="T42" s="250">
        <v>184298.6</v>
      </c>
      <c r="U42" s="250">
        <v>218151.8</v>
      </c>
      <c r="V42" s="250">
        <f>SUM(W42:AH42)</f>
        <v>239242.926</v>
      </c>
      <c r="W42" s="251"/>
      <c r="X42" s="251">
        <f aca="true" t="shared" si="27" ref="X42:AH42">X41*X40/10</f>
        <v>14701.439999999999</v>
      </c>
      <c r="Y42" s="251">
        <f t="shared" si="27"/>
        <v>8695.5</v>
      </c>
      <c r="Z42" s="251"/>
      <c r="AA42" s="251">
        <f t="shared" si="27"/>
        <v>85800</v>
      </c>
      <c r="AB42" s="251">
        <f t="shared" si="27"/>
        <v>60</v>
      </c>
      <c r="AC42" s="251">
        <f t="shared" si="27"/>
        <v>58316.736</v>
      </c>
      <c r="AD42" s="251">
        <f t="shared" si="27"/>
        <v>19902</v>
      </c>
      <c r="AE42" s="251">
        <f t="shared" si="27"/>
        <v>7700</v>
      </c>
      <c r="AF42" s="251">
        <f t="shared" si="27"/>
        <v>4659.719999999999</v>
      </c>
      <c r="AG42" s="251">
        <f t="shared" si="27"/>
        <v>35962.25</v>
      </c>
      <c r="AH42" s="251">
        <f t="shared" si="27"/>
        <v>3445.2799999999997</v>
      </c>
      <c r="AI42" s="252">
        <f t="shared" si="4"/>
        <v>109.66809625224272</v>
      </c>
      <c r="AJ42" s="253">
        <f t="shared" si="21"/>
        <v>129.81266596707735</v>
      </c>
    </row>
    <row r="43" spans="1:36" ht="15.75">
      <c r="A43" s="394" t="s">
        <v>103</v>
      </c>
      <c r="B43" s="395"/>
      <c r="C43" s="395">
        <f>SUM(D43:O43)</f>
        <v>2381.45</v>
      </c>
      <c r="D43" s="396">
        <f aca="true" t="shared" si="28" ref="D43:O43">D30-D35-D39</f>
        <v>12.849999999999994</v>
      </c>
      <c r="E43" s="396">
        <f t="shared" si="28"/>
        <v>0</v>
      </c>
      <c r="F43" s="396">
        <f t="shared" si="28"/>
        <v>7</v>
      </c>
      <c r="G43" s="396">
        <f t="shared" si="28"/>
        <v>0</v>
      </c>
      <c r="H43" s="396">
        <f t="shared" si="28"/>
        <v>0</v>
      </c>
      <c r="I43" s="396">
        <f t="shared" si="28"/>
        <v>0</v>
      </c>
      <c r="J43" s="396">
        <f t="shared" si="28"/>
        <v>0</v>
      </c>
      <c r="K43" s="396">
        <f t="shared" si="28"/>
        <v>28.600000000000023</v>
      </c>
      <c r="L43" s="396">
        <f t="shared" si="28"/>
        <v>1801</v>
      </c>
      <c r="M43" s="396">
        <f t="shared" si="28"/>
        <v>532</v>
      </c>
      <c r="N43" s="396">
        <f t="shared" si="28"/>
        <v>0</v>
      </c>
      <c r="O43" s="396">
        <f t="shared" si="28"/>
        <v>0</v>
      </c>
      <c r="P43" s="397" t="e">
        <f t="shared" si="17"/>
        <v>#DIV/0!</v>
      </c>
      <c r="Q43" s="318"/>
      <c r="R43" s="318"/>
      <c r="S43" s="280" t="s">
        <v>45</v>
      </c>
      <c r="T43" s="250">
        <v>1028.2</v>
      </c>
      <c r="U43" s="250">
        <v>222.2</v>
      </c>
      <c r="V43" s="250">
        <f>SUM(W43:AH43)</f>
        <v>461</v>
      </c>
      <c r="W43" s="251"/>
      <c r="X43" s="251"/>
      <c r="Y43" s="251">
        <v>10</v>
      </c>
      <c r="Z43" s="251"/>
      <c r="AA43" s="251">
        <v>180</v>
      </c>
      <c r="AB43" s="251"/>
      <c r="AC43" s="251">
        <v>51.8</v>
      </c>
      <c r="AD43" s="251">
        <v>82</v>
      </c>
      <c r="AE43" s="251">
        <v>96</v>
      </c>
      <c r="AF43" s="251">
        <v>3.9</v>
      </c>
      <c r="AG43" s="251">
        <v>29.7</v>
      </c>
      <c r="AH43" s="251">
        <v>7.6</v>
      </c>
      <c r="AI43" s="252">
        <f t="shared" si="4"/>
        <v>207.47074707470748</v>
      </c>
      <c r="AJ43" s="253">
        <f t="shared" si="21"/>
        <v>44.83563509044933</v>
      </c>
    </row>
    <row r="44" spans="1:36" ht="15.75">
      <c r="A44" s="398" t="s">
        <v>232</v>
      </c>
      <c r="B44" s="395"/>
      <c r="C44" s="395">
        <f>SUM(D44:O44)</f>
        <v>2360.5499999999997</v>
      </c>
      <c r="D44" s="396">
        <f>D31-D36-D40</f>
        <v>12.849999999999994</v>
      </c>
      <c r="E44" s="396">
        <f aca="true" t="shared" si="29" ref="E44:O44">E31-E36-E40</f>
        <v>0</v>
      </c>
      <c r="F44" s="396">
        <f t="shared" si="29"/>
        <v>7</v>
      </c>
      <c r="G44" s="396">
        <f t="shared" si="29"/>
        <v>0</v>
      </c>
      <c r="H44" s="396">
        <f t="shared" si="29"/>
        <v>0</v>
      </c>
      <c r="I44" s="396">
        <f t="shared" si="29"/>
        <v>0</v>
      </c>
      <c r="J44" s="396">
        <f t="shared" si="29"/>
        <v>0</v>
      </c>
      <c r="K44" s="396">
        <f t="shared" si="29"/>
        <v>28</v>
      </c>
      <c r="L44" s="396">
        <f t="shared" si="29"/>
        <v>1801</v>
      </c>
      <c r="M44" s="396">
        <f t="shared" si="29"/>
        <v>511.7</v>
      </c>
      <c r="N44" s="396">
        <f t="shared" si="29"/>
        <v>0</v>
      </c>
      <c r="O44" s="396">
        <f t="shared" si="29"/>
        <v>0</v>
      </c>
      <c r="P44" s="397" t="e">
        <f t="shared" si="17"/>
        <v>#DIV/0!</v>
      </c>
      <c r="Q44" s="318"/>
      <c r="R44" s="318"/>
      <c r="S44" s="249" t="s">
        <v>46</v>
      </c>
      <c r="T44" s="250"/>
      <c r="U44" s="250"/>
      <c r="V44" s="250">
        <f>SUM(W44:AH44)</f>
        <v>0</v>
      </c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2"/>
      <c r="AJ44" s="253"/>
    </row>
    <row r="45" spans="1:36" ht="15.75">
      <c r="A45" s="398" t="s">
        <v>233</v>
      </c>
      <c r="B45" s="395"/>
      <c r="C45" s="395">
        <f>C46/C44*10</f>
        <v>-523.4843998220755</v>
      </c>
      <c r="D45" s="396">
        <f>D46/D44*10</f>
        <v>-2342.011673151752</v>
      </c>
      <c r="E45" s="396"/>
      <c r="F45" s="396">
        <f aca="true" t="shared" si="30" ref="F45:M45">F46/F44*10</f>
        <v>8.333333333333332</v>
      </c>
      <c r="G45" s="396"/>
      <c r="H45" s="396"/>
      <c r="I45" s="396"/>
      <c r="J45" s="396"/>
      <c r="K45" s="396">
        <f t="shared" si="30"/>
        <v>-1773.75</v>
      </c>
      <c r="L45" s="396">
        <f t="shared" si="30"/>
        <v>-427.4991671293726</v>
      </c>
      <c r="M45" s="396">
        <f t="shared" si="30"/>
        <v>6.666666666666666</v>
      </c>
      <c r="N45" s="396"/>
      <c r="O45" s="396"/>
      <c r="P45" s="397" t="e">
        <f t="shared" si="17"/>
        <v>#DIV/0!</v>
      </c>
      <c r="Q45" s="318"/>
      <c r="R45" s="318"/>
      <c r="S45" s="255" t="s">
        <v>160</v>
      </c>
      <c r="T45" s="256">
        <v>24470.4</v>
      </c>
      <c r="U45" s="256">
        <v>25945.6</v>
      </c>
      <c r="V45" s="257">
        <f>SUM(W45:AH45)</f>
        <v>29352.300000000003</v>
      </c>
      <c r="W45" s="267">
        <v>659</v>
      </c>
      <c r="X45" s="296">
        <v>1407</v>
      </c>
      <c r="Y45" s="296">
        <v>1671</v>
      </c>
      <c r="Z45" s="296">
        <v>1210</v>
      </c>
      <c r="AA45" s="297">
        <v>1670</v>
      </c>
      <c r="AB45" s="296">
        <v>1493</v>
      </c>
      <c r="AC45" s="267">
        <v>1377</v>
      </c>
      <c r="AD45" s="296">
        <v>6774.9</v>
      </c>
      <c r="AE45" s="296">
        <v>4796</v>
      </c>
      <c r="AF45" s="297">
        <v>4973.2</v>
      </c>
      <c r="AG45" s="267">
        <v>2274.2</v>
      </c>
      <c r="AH45" s="267">
        <v>1047</v>
      </c>
      <c r="AI45" s="259">
        <f t="shared" si="4"/>
        <v>113.13016465219539</v>
      </c>
      <c r="AJ45" s="294">
        <f aca="true" t="shared" si="31" ref="AJ45:AJ73">V45/T45*100</f>
        <v>119.9502255786583</v>
      </c>
    </row>
    <row r="46" spans="1:36" ht="15.75">
      <c r="A46" s="398" t="s">
        <v>234</v>
      </c>
      <c r="B46" s="395"/>
      <c r="C46" s="395">
        <f>SUM(D46:O46)</f>
        <v>-123571.11000000002</v>
      </c>
      <c r="D46" s="396">
        <f>D33-D38-D42</f>
        <v>-3009.485</v>
      </c>
      <c r="E46" s="396">
        <f aca="true" t="shared" si="32" ref="E46:O46">E33-E38-E42</f>
        <v>-35591.875</v>
      </c>
      <c r="F46" s="396">
        <f t="shared" si="32"/>
        <v>5.833333333333333</v>
      </c>
      <c r="G46" s="396">
        <f t="shared" si="32"/>
        <v>0</v>
      </c>
      <c r="H46" s="396">
        <f t="shared" si="32"/>
        <v>-3133.7666666666664</v>
      </c>
      <c r="I46" s="396">
        <f t="shared" si="32"/>
        <v>0</v>
      </c>
      <c r="J46" s="396">
        <f t="shared" si="32"/>
        <v>-19.8</v>
      </c>
      <c r="K46" s="396">
        <f t="shared" si="32"/>
        <v>-4966.5</v>
      </c>
      <c r="L46" s="396">
        <f t="shared" si="32"/>
        <v>-76992.6</v>
      </c>
      <c r="M46" s="396">
        <f t="shared" si="32"/>
        <v>341.1333333333333</v>
      </c>
      <c r="N46" s="396">
        <f t="shared" si="32"/>
        <v>-204.04999999999998</v>
      </c>
      <c r="O46" s="396">
        <f t="shared" si="32"/>
        <v>0</v>
      </c>
      <c r="P46" s="397" t="e">
        <f t="shared" si="17"/>
        <v>#DIV/0!</v>
      </c>
      <c r="Q46" s="318"/>
      <c r="R46" s="318"/>
      <c r="S46" s="249" t="s">
        <v>42</v>
      </c>
      <c r="T46" s="250">
        <v>13434.3</v>
      </c>
      <c r="U46" s="250">
        <v>16462</v>
      </c>
      <c r="V46" s="274">
        <f>SUM(W46:AH46)</f>
        <v>15560.5</v>
      </c>
      <c r="W46" s="260">
        <v>490</v>
      </c>
      <c r="X46" s="261">
        <v>695</v>
      </c>
      <c r="Y46" s="261">
        <v>797</v>
      </c>
      <c r="Z46" s="261">
        <v>618</v>
      </c>
      <c r="AA46" s="275">
        <v>875.5</v>
      </c>
      <c r="AB46" s="261">
        <v>1202</v>
      </c>
      <c r="AC46" s="260">
        <v>1118</v>
      </c>
      <c r="AD46" s="261">
        <v>2468</v>
      </c>
      <c r="AE46" s="298">
        <v>3587</v>
      </c>
      <c r="AF46" s="261">
        <v>2701</v>
      </c>
      <c r="AG46" s="260">
        <v>617</v>
      </c>
      <c r="AH46" s="260">
        <v>392</v>
      </c>
      <c r="AI46" s="252">
        <f t="shared" si="4"/>
        <v>94.52375167051392</v>
      </c>
      <c r="AJ46" s="253">
        <f t="shared" si="31"/>
        <v>115.82665267263647</v>
      </c>
    </row>
    <row r="47" spans="1:36" ht="15.75">
      <c r="A47" s="216" t="s">
        <v>121</v>
      </c>
      <c r="B47" s="23">
        <v>20950.3</v>
      </c>
      <c r="C47" s="22">
        <f>SUM(D47:O47)</f>
        <v>22022.6</v>
      </c>
      <c r="D47" s="178"/>
      <c r="E47" s="178"/>
      <c r="F47" s="178">
        <v>223</v>
      </c>
      <c r="G47" s="178"/>
      <c r="H47" s="178"/>
      <c r="I47" s="178"/>
      <c r="J47" s="178"/>
      <c r="K47" s="178"/>
      <c r="L47" s="178">
        <v>190</v>
      </c>
      <c r="M47" s="178">
        <v>9468.2</v>
      </c>
      <c r="N47" s="178">
        <v>6199.3</v>
      </c>
      <c r="O47" s="178">
        <v>5942.1</v>
      </c>
      <c r="P47" s="24">
        <f t="shared" si="17"/>
        <v>105.11830379517238</v>
      </c>
      <c r="Q47" s="318" t="s">
        <v>302</v>
      </c>
      <c r="R47" s="320">
        <f>C47-V25</f>
        <v>-1012.1000000000022</v>
      </c>
      <c r="S47" s="249" t="s">
        <v>18</v>
      </c>
      <c r="T47" s="250">
        <v>134.9</v>
      </c>
      <c r="U47" s="250">
        <v>152.3</v>
      </c>
      <c r="V47" s="250">
        <f>V48/V46*10</f>
        <v>151.628223386138</v>
      </c>
      <c r="W47" s="260">
        <v>147.961</v>
      </c>
      <c r="X47" s="261">
        <v>140</v>
      </c>
      <c r="Y47" s="261">
        <v>127.5</v>
      </c>
      <c r="Z47" s="261">
        <v>127</v>
      </c>
      <c r="AA47" s="261">
        <v>195</v>
      </c>
      <c r="AB47" s="261">
        <v>149</v>
      </c>
      <c r="AC47" s="260">
        <v>338.56</v>
      </c>
      <c r="AD47" s="261">
        <v>137</v>
      </c>
      <c r="AE47" s="261">
        <v>135</v>
      </c>
      <c r="AF47" s="261">
        <v>128</v>
      </c>
      <c r="AG47" s="260">
        <v>135</v>
      </c>
      <c r="AH47" s="260">
        <v>76</v>
      </c>
      <c r="AI47" s="252">
        <f t="shared" si="4"/>
        <v>99.5589122692961</v>
      </c>
      <c r="AJ47" s="253">
        <f t="shared" si="31"/>
        <v>112.40046210981318</v>
      </c>
    </row>
    <row r="48" spans="1:37" ht="15.75">
      <c r="A48" s="217" t="s">
        <v>94</v>
      </c>
      <c r="B48" s="96">
        <v>14257.4</v>
      </c>
      <c r="C48" s="97">
        <f>SUM(D48:O48)</f>
        <v>15158.7</v>
      </c>
      <c r="D48" s="192"/>
      <c r="E48" s="192"/>
      <c r="F48" s="192">
        <v>194</v>
      </c>
      <c r="G48" s="192"/>
      <c r="H48" s="192"/>
      <c r="I48" s="192"/>
      <c r="J48" s="192"/>
      <c r="K48" s="192"/>
      <c r="L48" s="192">
        <v>190</v>
      </c>
      <c r="M48" s="192">
        <f>7487.6</f>
        <v>7487.6</v>
      </c>
      <c r="N48" s="192">
        <f>3289.9</f>
        <v>3289.9</v>
      </c>
      <c r="O48" s="192">
        <f>3997.2</f>
        <v>3997.2</v>
      </c>
      <c r="P48" s="98">
        <f t="shared" si="17"/>
        <v>106.32162946960877</v>
      </c>
      <c r="Q48" s="320"/>
      <c r="R48" s="318"/>
      <c r="S48" s="249" t="s">
        <v>19</v>
      </c>
      <c r="T48" s="250">
        <v>181184.2</v>
      </c>
      <c r="U48" s="250">
        <v>250739.8</v>
      </c>
      <c r="V48" s="250">
        <f>SUM(W48:AH48)</f>
        <v>235941.097</v>
      </c>
      <c r="W48" s="260">
        <f>W47*W46/10</f>
        <v>7250.089</v>
      </c>
      <c r="X48" s="261">
        <f aca="true" t="shared" si="33" ref="X48:AH48">X47*X46/10</f>
        <v>9730</v>
      </c>
      <c r="Y48" s="261">
        <f t="shared" si="33"/>
        <v>10161.75</v>
      </c>
      <c r="Z48" s="261">
        <f t="shared" si="33"/>
        <v>7848.6</v>
      </c>
      <c r="AA48" s="261">
        <f t="shared" si="33"/>
        <v>17072.25</v>
      </c>
      <c r="AB48" s="261">
        <f t="shared" si="33"/>
        <v>17909.8</v>
      </c>
      <c r="AC48" s="260">
        <f t="shared" si="33"/>
        <v>37851.008</v>
      </c>
      <c r="AD48" s="261">
        <f t="shared" si="33"/>
        <v>33811.6</v>
      </c>
      <c r="AE48" s="261">
        <f t="shared" si="33"/>
        <v>48424.5</v>
      </c>
      <c r="AF48" s="261">
        <f t="shared" si="33"/>
        <v>34572.8</v>
      </c>
      <c r="AG48" s="260">
        <f t="shared" si="33"/>
        <v>8329.5</v>
      </c>
      <c r="AH48" s="260">
        <f t="shared" si="33"/>
        <v>2979.2</v>
      </c>
      <c r="AI48" s="252">
        <f t="shared" si="4"/>
        <v>94.09798404561224</v>
      </c>
      <c r="AJ48" s="253">
        <f t="shared" si="31"/>
        <v>130.22167330263898</v>
      </c>
      <c r="AK48" s="94"/>
    </row>
    <row r="49" spans="1:36" ht="15.75">
      <c r="A49" s="217" t="s">
        <v>95</v>
      </c>
      <c r="B49" s="96">
        <v>6692.9</v>
      </c>
      <c r="C49" s="97">
        <f>SUM(D49:O49)</f>
        <v>6863.900000000001</v>
      </c>
      <c r="D49" s="192"/>
      <c r="E49" s="192"/>
      <c r="F49" s="192">
        <f>F47-F48</f>
        <v>29</v>
      </c>
      <c r="G49" s="192"/>
      <c r="H49" s="192"/>
      <c r="I49" s="192"/>
      <c r="J49" s="192"/>
      <c r="K49" s="192"/>
      <c r="L49" s="192">
        <f>L47-L48</f>
        <v>0</v>
      </c>
      <c r="M49" s="192">
        <f>M47-M48</f>
        <v>1980.6000000000004</v>
      </c>
      <c r="N49" s="192">
        <f>N47-N48</f>
        <v>2909.4</v>
      </c>
      <c r="O49" s="192">
        <f>O47-O48</f>
        <v>1944.9000000000005</v>
      </c>
      <c r="P49" s="98">
        <f t="shared" si="17"/>
        <v>102.55494628636316</v>
      </c>
      <c r="Q49" s="321"/>
      <c r="R49" s="318"/>
      <c r="S49" s="280" t="s">
        <v>45</v>
      </c>
      <c r="T49" s="250">
        <v>6056.5</v>
      </c>
      <c r="U49" s="250">
        <v>3146.3</v>
      </c>
      <c r="V49" s="250">
        <f>SUM(W49:AH49)</f>
        <v>3408.2999999999997</v>
      </c>
      <c r="W49" s="260">
        <v>136</v>
      </c>
      <c r="X49" s="261">
        <v>120</v>
      </c>
      <c r="Y49" s="261">
        <v>553.3</v>
      </c>
      <c r="Z49" s="261">
        <v>91.8</v>
      </c>
      <c r="AA49" s="261">
        <v>172</v>
      </c>
      <c r="AB49" s="261"/>
      <c r="AC49" s="260">
        <v>24</v>
      </c>
      <c r="AD49" s="261">
        <v>558.2</v>
      </c>
      <c r="AE49" s="261">
        <v>376</v>
      </c>
      <c r="AF49" s="261">
        <v>859.4</v>
      </c>
      <c r="AG49" s="260">
        <v>424</v>
      </c>
      <c r="AH49" s="260">
        <v>93.6</v>
      </c>
      <c r="AI49" s="252">
        <f t="shared" si="4"/>
        <v>108.32724152178747</v>
      </c>
      <c r="AJ49" s="253">
        <f t="shared" si="31"/>
        <v>56.27507636423677</v>
      </c>
    </row>
    <row r="50" spans="1:36" ht="15.75">
      <c r="A50" s="99" t="s">
        <v>87</v>
      </c>
      <c r="B50" s="96">
        <v>22772.6</v>
      </c>
      <c r="C50" s="97">
        <f>SUM(D50:O50)</f>
        <v>22915.6</v>
      </c>
      <c r="D50" s="192"/>
      <c r="E50" s="192"/>
      <c r="F50" s="192">
        <v>278</v>
      </c>
      <c r="G50" s="192"/>
      <c r="H50" s="192"/>
      <c r="I50" s="192"/>
      <c r="J50" s="192"/>
      <c r="K50" s="192"/>
      <c r="L50" s="192">
        <v>190</v>
      </c>
      <c r="M50" s="192">
        <v>9946.6</v>
      </c>
      <c r="N50" s="192">
        <v>6750</v>
      </c>
      <c r="O50" s="192">
        <v>5751</v>
      </c>
      <c r="P50" s="98">
        <f t="shared" si="17"/>
        <v>100.62794762126414</v>
      </c>
      <c r="Q50" s="318"/>
      <c r="R50" s="318"/>
      <c r="S50" s="255" t="s">
        <v>161</v>
      </c>
      <c r="T50" s="299">
        <v>250.2</v>
      </c>
      <c r="U50" s="256">
        <v>218.4</v>
      </c>
      <c r="V50" s="256">
        <f>SUM(W50:AH50)</f>
        <v>172.5</v>
      </c>
      <c r="W50" s="258"/>
      <c r="X50" s="256"/>
      <c r="Y50" s="272">
        <v>89</v>
      </c>
      <c r="Z50" s="272"/>
      <c r="AA50" s="272"/>
      <c r="AB50" s="272">
        <v>5</v>
      </c>
      <c r="AC50" s="267"/>
      <c r="AD50" s="272">
        <v>1.4</v>
      </c>
      <c r="AE50" s="272"/>
      <c r="AF50" s="272">
        <v>49.400000000000006</v>
      </c>
      <c r="AG50" s="267">
        <v>9.7</v>
      </c>
      <c r="AH50" s="258">
        <v>18</v>
      </c>
      <c r="AI50" s="259">
        <f t="shared" si="4"/>
        <v>78.98351648351648</v>
      </c>
      <c r="AJ50" s="253">
        <f t="shared" si="31"/>
        <v>68.94484412470024</v>
      </c>
    </row>
    <row r="51" spans="1:36" ht="15.75">
      <c r="A51" s="99" t="s">
        <v>84</v>
      </c>
      <c r="B51" s="96">
        <v>8.4</v>
      </c>
      <c r="C51" s="97">
        <f>(C52/C50*10)</f>
        <v>0</v>
      </c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98">
        <f t="shared" si="17"/>
        <v>0</v>
      </c>
      <c r="Q51" s="318"/>
      <c r="R51" s="318"/>
      <c r="S51" s="249" t="s">
        <v>42</v>
      </c>
      <c r="T51" s="292">
        <v>248.9</v>
      </c>
      <c r="U51" s="250">
        <v>218.4</v>
      </c>
      <c r="V51" s="250">
        <f>SUM(W51:AH51)</f>
        <v>172.5</v>
      </c>
      <c r="W51" s="251"/>
      <c r="X51" s="250"/>
      <c r="Y51" s="276">
        <v>89</v>
      </c>
      <c r="Z51" s="276"/>
      <c r="AA51" s="276"/>
      <c r="AB51" s="276">
        <v>5</v>
      </c>
      <c r="AC51" s="260"/>
      <c r="AD51" s="276">
        <v>1.4</v>
      </c>
      <c r="AE51" s="276"/>
      <c r="AF51" s="276">
        <v>49.4</v>
      </c>
      <c r="AG51" s="260">
        <v>9.7</v>
      </c>
      <c r="AH51" s="251">
        <v>18</v>
      </c>
      <c r="AI51" s="252">
        <f t="shared" si="4"/>
        <v>78.98351648351648</v>
      </c>
      <c r="AJ51" s="253">
        <f t="shared" si="31"/>
        <v>69.30494174367216</v>
      </c>
    </row>
    <row r="52" spans="1:36" ht="15.75">
      <c r="A52" s="99" t="s">
        <v>85</v>
      </c>
      <c r="B52" s="96">
        <v>19180.2</v>
      </c>
      <c r="C52" s="97">
        <f aca="true" t="shared" si="34" ref="C52:C81">SUM(D52:O52)</f>
        <v>0</v>
      </c>
      <c r="D52" s="46"/>
      <c r="E52" s="46"/>
      <c r="F52" s="46">
        <f>(F51*F50/10)</f>
        <v>0</v>
      </c>
      <c r="G52" s="46"/>
      <c r="H52" s="46"/>
      <c r="I52" s="46"/>
      <c r="J52" s="46"/>
      <c r="K52" s="46"/>
      <c r="L52" s="46">
        <f>(L51*L50/10)</f>
        <v>0</v>
      </c>
      <c r="M52" s="46">
        <f>(M51*M50/10)</f>
        <v>0</v>
      </c>
      <c r="N52" s="46">
        <f>(N51*N50/10)</f>
        <v>0</v>
      </c>
      <c r="O52" s="46">
        <f>(O51*O50/10)</f>
        <v>0</v>
      </c>
      <c r="P52" s="98">
        <f t="shared" si="17"/>
        <v>0</v>
      </c>
      <c r="Q52" s="318"/>
      <c r="R52" s="318"/>
      <c r="S52" s="249" t="s">
        <v>18</v>
      </c>
      <c r="T52" s="292">
        <v>5.8</v>
      </c>
      <c r="U52" s="250">
        <v>6.8</v>
      </c>
      <c r="V52" s="250">
        <f>V53/V51*10</f>
        <v>6.599710144927537</v>
      </c>
      <c r="W52" s="251"/>
      <c r="X52" s="250"/>
      <c r="Y52" s="276">
        <v>4</v>
      </c>
      <c r="Z52" s="276"/>
      <c r="AA52" s="276"/>
      <c r="AB52" s="276">
        <v>3</v>
      </c>
      <c r="AC52" s="260"/>
      <c r="AD52" s="276">
        <v>7</v>
      </c>
      <c r="AE52" s="276"/>
      <c r="AF52" s="276">
        <v>9.5</v>
      </c>
      <c r="AG52" s="260">
        <v>9.5</v>
      </c>
      <c r="AH52" s="251">
        <v>10.9</v>
      </c>
      <c r="AI52" s="252">
        <f t="shared" si="4"/>
        <v>97.05456095481672</v>
      </c>
      <c r="AJ52" s="253">
        <f t="shared" si="31"/>
        <v>113.78810594702651</v>
      </c>
    </row>
    <row r="53" spans="1:36" ht="15.75">
      <c r="A53" s="99" t="s">
        <v>222</v>
      </c>
      <c r="B53" s="207"/>
      <c r="C53" s="26">
        <f t="shared" si="34"/>
        <v>0</v>
      </c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27" t="e">
        <f t="shared" si="17"/>
        <v>#DIV/0!</v>
      </c>
      <c r="Q53" s="318"/>
      <c r="R53" s="318"/>
      <c r="S53" s="249" t="s">
        <v>19</v>
      </c>
      <c r="T53" s="292">
        <v>144.8</v>
      </c>
      <c r="U53" s="250">
        <v>147.8</v>
      </c>
      <c r="V53" s="250">
        <f aca="true" t="shared" si="35" ref="V53:V60">SUM(W53:AH53)</f>
        <v>113.845</v>
      </c>
      <c r="W53" s="260"/>
      <c r="X53" s="261"/>
      <c r="Y53" s="261">
        <f aca="true" t="shared" si="36" ref="Y53:AH53">Y52*Y51/10</f>
        <v>35.6</v>
      </c>
      <c r="Z53" s="261"/>
      <c r="AA53" s="261"/>
      <c r="AB53" s="261">
        <f t="shared" si="36"/>
        <v>1.5</v>
      </c>
      <c r="AC53" s="260"/>
      <c r="AD53" s="261">
        <f t="shared" si="36"/>
        <v>0.9799999999999999</v>
      </c>
      <c r="AE53" s="261"/>
      <c r="AF53" s="261">
        <f t="shared" si="36"/>
        <v>46.93</v>
      </c>
      <c r="AG53" s="260">
        <f t="shared" si="36"/>
        <v>9.215</v>
      </c>
      <c r="AH53" s="260">
        <f t="shared" si="36"/>
        <v>19.62</v>
      </c>
      <c r="AI53" s="252">
        <f t="shared" si="4"/>
        <v>77.02638700947226</v>
      </c>
      <c r="AJ53" s="253">
        <f t="shared" si="31"/>
        <v>78.62223756906077</v>
      </c>
    </row>
    <row r="54" spans="1:36" ht="15.75">
      <c r="A54" s="25" t="s">
        <v>44</v>
      </c>
      <c r="B54" s="107"/>
      <c r="C54" s="97">
        <f t="shared" si="34"/>
        <v>0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27" t="e">
        <f t="shared" si="17"/>
        <v>#DIV/0!</v>
      </c>
      <c r="Q54" s="318"/>
      <c r="R54" s="318"/>
      <c r="S54" s="280" t="s">
        <v>45</v>
      </c>
      <c r="T54" s="277">
        <v>2.6</v>
      </c>
      <c r="U54" s="251">
        <v>0</v>
      </c>
      <c r="V54" s="250">
        <f t="shared" si="35"/>
        <v>72.7</v>
      </c>
      <c r="W54" s="260"/>
      <c r="X54" s="261"/>
      <c r="Y54" s="261">
        <v>69.7</v>
      </c>
      <c r="Z54" s="261"/>
      <c r="AA54" s="261"/>
      <c r="AB54" s="261"/>
      <c r="AC54" s="260"/>
      <c r="AD54" s="261"/>
      <c r="AE54" s="261"/>
      <c r="AF54" s="261"/>
      <c r="AG54" s="260"/>
      <c r="AH54" s="260">
        <v>3</v>
      </c>
      <c r="AI54" s="252"/>
      <c r="AJ54" s="253">
        <f>V54/T54*100</f>
        <v>2796.153846153846</v>
      </c>
    </row>
    <row r="55" spans="1:36" ht="15.75">
      <c r="A55" s="25" t="s">
        <v>182</v>
      </c>
      <c r="B55" s="107">
        <v>1072.3</v>
      </c>
      <c r="C55" s="97">
        <f t="shared" si="34"/>
        <v>0</v>
      </c>
      <c r="D55" s="192"/>
      <c r="E55" s="192"/>
      <c r="F55" s="192"/>
      <c r="G55" s="192"/>
      <c r="H55" s="192"/>
      <c r="I55" s="192"/>
      <c r="J55" s="192"/>
      <c r="K55" s="192"/>
      <c r="L55" s="366"/>
      <c r="M55" s="366"/>
      <c r="N55" s="366"/>
      <c r="O55" s="366"/>
      <c r="P55" s="27"/>
      <c r="Q55" s="318"/>
      <c r="R55" s="318"/>
      <c r="S55" s="300" t="s">
        <v>185</v>
      </c>
      <c r="T55" s="278">
        <v>405.1</v>
      </c>
      <c r="U55" s="256">
        <v>351.4</v>
      </c>
      <c r="V55" s="256">
        <f t="shared" si="35"/>
        <v>313.79999999999995</v>
      </c>
      <c r="W55" s="301"/>
      <c r="X55" s="301">
        <v>15</v>
      </c>
      <c r="Y55" s="301">
        <v>29</v>
      </c>
      <c r="Z55" s="301"/>
      <c r="AA55" s="301">
        <v>10</v>
      </c>
      <c r="AB55" s="301">
        <v>16</v>
      </c>
      <c r="AC55" s="301">
        <v>11.2</v>
      </c>
      <c r="AD55" s="301">
        <v>27.8</v>
      </c>
      <c r="AE55" s="301"/>
      <c r="AF55" s="301">
        <v>10.1</v>
      </c>
      <c r="AG55" s="301">
        <v>179.7</v>
      </c>
      <c r="AH55" s="301">
        <v>15</v>
      </c>
      <c r="AI55" s="259">
        <f t="shared" si="4"/>
        <v>89.29994308480363</v>
      </c>
      <c r="AJ55" s="253">
        <f t="shared" si="31"/>
        <v>77.46235497408045</v>
      </c>
    </row>
    <row r="56" spans="1:36" ht="15.75">
      <c r="A56" s="25" t="s">
        <v>291</v>
      </c>
      <c r="B56" s="107"/>
      <c r="C56" s="97">
        <f t="shared" si="34"/>
        <v>0</v>
      </c>
      <c r="D56" s="177"/>
      <c r="E56" s="177"/>
      <c r="F56" s="177"/>
      <c r="G56" s="177"/>
      <c r="H56" s="177"/>
      <c r="I56" s="178"/>
      <c r="J56" s="177"/>
      <c r="K56" s="177"/>
      <c r="L56" s="215"/>
      <c r="M56" s="215"/>
      <c r="N56" s="215"/>
      <c r="O56" s="215"/>
      <c r="P56" s="27"/>
      <c r="Q56" s="318"/>
      <c r="R56" s="318"/>
      <c r="S56" s="280" t="s">
        <v>45</v>
      </c>
      <c r="T56" s="277">
        <v>23.5</v>
      </c>
      <c r="U56" s="250">
        <v>0</v>
      </c>
      <c r="V56" s="250">
        <f t="shared" si="35"/>
        <v>26.7</v>
      </c>
      <c r="W56" s="251"/>
      <c r="X56" s="250"/>
      <c r="Y56" s="250"/>
      <c r="Z56" s="250"/>
      <c r="AA56" s="250"/>
      <c r="AB56" s="250"/>
      <c r="AC56" s="251"/>
      <c r="AD56" s="250"/>
      <c r="AE56" s="250"/>
      <c r="AF56" s="250"/>
      <c r="AG56" s="251">
        <v>11.7</v>
      </c>
      <c r="AH56" s="251">
        <v>15</v>
      </c>
      <c r="AI56" s="252"/>
      <c r="AJ56" s="253">
        <f t="shared" si="31"/>
        <v>113.61702127659574</v>
      </c>
    </row>
    <row r="57" spans="1:36" ht="15.75">
      <c r="A57" s="25" t="s">
        <v>194</v>
      </c>
      <c r="B57" s="107"/>
      <c r="C57" s="97">
        <f t="shared" si="34"/>
        <v>0</v>
      </c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7"/>
      <c r="Q57" s="318"/>
      <c r="R57" s="318"/>
      <c r="S57" s="300" t="s">
        <v>130</v>
      </c>
      <c r="T57" s="256">
        <v>8867.8</v>
      </c>
      <c r="U57" s="256">
        <v>8820</v>
      </c>
      <c r="V57" s="257">
        <f t="shared" si="35"/>
        <v>9075.199999999999</v>
      </c>
      <c r="W57" s="258"/>
      <c r="X57" s="256"/>
      <c r="Y57" s="302">
        <v>129</v>
      </c>
      <c r="Z57" s="302"/>
      <c r="AA57" s="302"/>
      <c r="AB57" s="302"/>
      <c r="AC57" s="303"/>
      <c r="AD57" s="302"/>
      <c r="AE57" s="302">
        <v>4475.7</v>
      </c>
      <c r="AF57" s="304">
        <v>396.3</v>
      </c>
      <c r="AG57" s="303">
        <v>3908.9</v>
      </c>
      <c r="AH57" s="258">
        <v>165.3</v>
      </c>
      <c r="AI57" s="259">
        <f t="shared" si="4"/>
        <v>102.89342403628116</v>
      </c>
      <c r="AJ57" s="253">
        <f t="shared" si="31"/>
        <v>102.33879880015336</v>
      </c>
    </row>
    <row r="58" spans="1:36" ht="15.75">
      <c r="A58" s="25" t="s">
        <v>195</v>
      </c>
      <c r="B58" s="107"/>
      <c r="C58" s="97">
        <f t="shared" si="34"/>
        <v>0</v>
      </c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7"/>
      <c r="Q58" s="318"/>
      <c r="R58" s="318"/>
      <c r="S58" s="280" t="s">
        <v>47</v>
      </c>
      <c r="T58" s="250">
        <v>2894</v>
      </c>
      <c r="U58" s="250">
        <v>3294</v>
      </c>
      <c r="V58" s="250">
        <f t="shared" si="35"/>
        <v>5300</v>
      </c>
      <c r="W58" s="289"/>
      <c r="X58" s="305"/>
      <c r="Y58" s="305">
        <v>24</v>
      </c>
      <c r="Z58" s="305"/>
      <c r="AA58" s="305"/>
      <c r="AB58" s="305"/>
      <c r="AC58" s="289"/>
      <c r="AD58" s="305"/>
      <c r="AE58" s="305">
        <v>3324.7</v>
      </c>
      <c r="AF58" s="305">
        <f>AF57-AF59</f>
        <v>8.900000000000034</v>
      </c>
      <c r="AG58" s="289">
        <f>AG57-AG59</f>
        <v>1856.1</v>
      </c>
      <c r="AH58" s="289">
        <f>AH57-AH59</f>
        <v>86.30000000000001</v>
      </c>
      <c r="AI58" s="252">
        <f t="shared" si="4"/>
        <v>160.89860352155435</v>
      </c>
      <c r="AJ58" s="253">
        <f t="shared" si="31"/>
        <v>183.13752591568763</v>
      </c>
    </row>
    <row r="59" spans="1:36" ht="15.75">
      <c r="A59" s="25" t="s">
        <v>196</v>
      </c>
      <c r="B59" s="107"/>
      <c r="C59" s="97">
        <f t="shared" si="34"/>
        <v>0</v>
      </c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7"/>
      <c r="Q59" s="321"/>
      <c r="R59" s="318"/>
      <c r="S59" s="280" t="s">
        <v>48</v>
      </c>
      <c r="T59" s="250">
        <v>5973.8</v>
      </c>
      <c r="U59" s="250">
        <v>5526</v>
      </c>
      <c r="V59" s="250">
        <f t="shared" si="35"/>
        <v>3775.2000000000003</v>
      </c>
      <c r="W59" s="289"/>
      <c r="X59" s="305"/>
      <c r="Y59" s="305">
        <v>105</v>
      </c>
      <c r="Z59" s="305"/>
      <c r="AA59" s="305"/>
      <c r="AB59" s="305"/>
      <c r="AC59" s="289"/>
      <c r="AD59" s="305"/>
      <c r="AE59" s="305">
        <v>1151</v>
      </c>
      <c r="AF59" s="305">
        <v>387.4</v>
      </c>
      <c r="AG59" s="289">
        <v>2052.8</v>
      </c>
      <c r="AH59" s="289">
        <v>79</v>
      </c>
      <c r="AI59" s="252">
        <f t="shared" si="4"/>
        <v>68.3170466883822</v>
      </c>
      <c r="AJ59" s="253">
        <f t="shared" si="31"/>
        <v>63.1959556731059</v>
      </c>
    </row>
    <row r="60" spans="1:36" ht="15.75">
      <c r="A60" s="25" t="s">
        <v>197</v>
      </c>
      <c r="B60" s="107"/>
      <c r="C60" s="97">
        <f t="shared" si="34"/>
        <v>0</v>
      </c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7"/>
      <c r="Q60" s="318"/>
      <c r="R60" s="318"/>
      <c r="S60" s="280" t="s">
        <v>42</v>
      </c>
      <c r="T60" s="250">
        <v>3099.6</v>
      </c>
      <c r="U60" s="250">
        <v>2980</v>
      </c>
      <c r="V60" s="263">
        <f t="shared" si="35"/>
        <v>4805.6</v>
      </c>
      <c r="W60" s="251"/>
      <c r="X60" s="250"/>
      <c r="Y60" s="306">
        <v>129</v>
      </c>
      <c r="Z60" s="306"/>
      <c r="AA60" s="306"/>
      <c r="AB60" s="306"/>
      <c r="AC60" s="307"/>
      <c r="AD60" s="306"/>
      <c r="AE60" s="306">
        <v>695</v>
      </c>
      <c r="AF60" s="308">
        <v>427.3</v>
      </c>
      <c r="AG60" s="307">
        <v>3450</v>
      </c>
      <c r="AH60" s="251">
        <v>104.3</v>
      </c>
      <c r="AI60" s="252">
        <f aca="true" t="shared" si="37" ref="AI60:AI72">V60/U60*100</f>
        <v>161.26174496644296</v>
      </c>
      <c r="AJ60" s="253">
        <f t="shared" si="31"/>
        <v>155.03935991740872</v>
      </c>
    </row>
    <row r="61" spans="1:36" ht="15.75">
      <c r="A61" s="25" t="s">
        <v>215</v>
      </c>
      <c r="B61" s="107"/>
      <c r="C61" s="97">
        <f t="shared" si="34"/>
        <v>0</v>
      </c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7"/>
      <c r="Q61" s="318"/>
      <c r="R61" s="318"/>
      <c r="S61" s="280" t="s">
        <v>49</v>
      </c>
      <c r="T61" s="250">
        <v>26.7</v>
      </c>
      <c r="U61" s="250">
        <v>32.1</v>
      </c>
      <c r="V61" s="263">
        <f>V62/V60*10</f>
        <v>22.675953054769433</v>
      </c>
      <c r="W61" s="251"/>
      <c r="X61" s="250"/>
      <c r="Y61" s="306">
        <v>13</v>
      </c>
      <c r="Z61" s="309"/>
      <c r="AA61" s="306"/>
      <c r="AB61" s="306"/>
      <c r="AC61" s="307"/>
      <c r="AD61" s="306"/>
      <c r="AE61" s="306">
        <v>25</v>
      </c>
      <c r="AF61" s="306">
        <v>61.2</v>
      </c>
      <c r="AG61" s="307">
        <v>18</v>
      </c>
      <c r="AH61" s="251">
        <v>16</v>
      </c>
      <c r="AI61" s="252">
        <f t="shared" si="37"/>
        <v>70.64159830146241</v>
      </c>
      <c r="AJ61" s="253">
        <f t="shared" si="31"/>
        <v>84.92866312647728</v>
      </c>
    </row>
    <row r="62" spans="1:36" ht="15.75">
      <c r="A62" s="25" t="s">
        <v>216</v>
      </c>
      <c r="B62" s="107"/>
      <c r="C62" s="97">
        <f t="shared" si="34"/>
        <v>0</v>
      </c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7"/>
      <c r="Q62" s="318"/>
      <c r="R62" s="318"/>
      <c r="S62" s="280" t="s">
        <v>50</v>
      </c>
      <c r="T62" s="250">
        <v>8281.6</v>
      </c>
      <c r="U62" s="250">
        <v>9579</v>
      </c>
      <c r="V62" s="250">
        <f>SUM(W62:AH62)</f>
        <v>10897.155999999999</v>
      </c>
      <c r="W62" s="289"/>
      <c r="X62" s="305"/>
      <c r="Y62" s="305">
        <f aca="true" t="shared" si="38" ref="Y62:AH62">Y61*Y60/10</f>
        <v>167.7</v>
      </c>
      <c r="Z62" s="305"/>
      <c r="AA62" s="305"/>
      <c r="AB62" s="305"/>
      <c r="AC62" s="289"/>
      <c r="AD62" s="305"/>
      <c r="AE62" s="305">
        <f t="shared" si="38"/>
        <v>1737.5</v>
      </c>
      <c r="AF62" s="305">
        <f t="shared" si="38"/>
        <v>2615.076</v>
      </c>
      <c r="AG62" s="289">
        <f t="shared" si="38"/>
        <v>6210</v>
      </c>
      <c r="AH62" s="289">
        <f t="shared" si="38"/>
        <v>166.88</v>
      </c>
      <c r="AI62" s="252">
        <f t="shared" si="37"/>
        <v>113.7608936214636</v>
      </c>
      <c r="AJ62" s="253">
        <f t="shared" si="31"/>
        <v>131.58273763523957</v>
      </c>
    </row>
    <row r="63" spans="1:36" ht="15.75">
      <c r="A63" s="25" t="s">
        <v>217</v>
      </c>
      <c r="B63" s="107"/>
      <c r="C63" s="97">
        <f t="shared" si="34"/>
        <v>0</v>
      </c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7"/>
      <c r="Q63" s="318"/>
      <c r="R63" s="318"/>
      <c r="S63" s="280" t="s">
        <v>45</v>
      </c>
      <c r="T63" s="250">
        <v>251.4</v>
      </c>
      <c r="U63" s="250">
        <v>0</v>
      </c>
      <c r="V63" s="250">
        <f>SUM(W63:AH63)</f>
        <v>127</v>
      </c>
      <c r="W63" s="260"/>
      <c r="X63" s="260"/>
      <c r="Y63" s="251"/>
      <c r="Z63" s="260"/>
      <c r="AA63" s="251"/>
      <c r="AB63" s="260"/>
      <c r="AC63" s="260"/>
      <c r="AD63" s="260"/>
      <c r="AE63" s="260"/>
      <c r="AF63" s="260">
        <v>10.5</v>
      </c>
      <c r="AG63" s="260">
        <v>97.2</v>
      </c>
      <c r="AH63" s="260">
        <v>19.3</v>
      </c>
      <c r="AI63" s="252"/>
      <c r="AJ63" s="253">
        <f t="shared" si="31"/>
        <v>50.51710421638822</v>
      </c>
    </row>
    <row r="64" spans="1:36" ht="15.75">
      <c r="A64" s="25" t="s">
        <v>218</v>
      </c>
      <c r="B64" s="107"/>
      <c r="C64" s="97">
        <f t="shared" si="34"/>
        <v>0</v>
      </c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7"/>
      <c r="Q64" s="318"/>
      <c r="R64" s="318"/>
      <c r="S64" s="310" t="s">
        <v>51</v>
      </c>
      <c r="T64" s="258">
        <v>4863.6</v>
      </c>
      <c r="U64" s="258">
        <v>6108</v>
      </c>
      <c r="V64" s="258">
        <f>SUM(W64:AH64)</f>
        <v>6904.03</v>
      </c>
      <c r="W64" s="267">
        <v>49.6</v>
      </c>
      <c r="X64" s="267">
        <v>46.5</v>
      </c>
      <c r="Y64" s="267">
        <v>828.6</v>
      </c>
      <c r="Z64" s="267">
        <v>498</v>
      </c>
      <c r="AA64" s="267">
        <v>2660</v>
      </c>
      <c r="AB64" s="267">
        <v>31</v>
      </c>
      <c r="AC64" s="258">
        <v>340.9</v>
      </c>
      <c r="AD64" s="258">
        <v>1714.23</v>
      </c>
      <c r="AE64" s="267">
        <v>724</v>
      </c>
      <c r="AF64" s="267"/>
      <c r="AG64" s="267">
        <v>10.2</v>
      </c>
      <c r="AH64" s="258">
        <v>1</v>
      </c>
      <c r="AI64" s="268">
        <f t="shared" si="37"/>
        <v>113.03258022265881</v>
      </c>
      <c r="AJ64" s="253">
        <f t="shared" si="31"/>
        <v>141.9530800230282</v>
      </c>
    </row>
    <row r="65" spans="1:36" ht="15.75">
      <c r="A65" s="25" t="s">
        <v>219</v>
      </c>
      <c r="B65" s="107"/>
      <c r="C65" s="97">
        <f t="shared" si="34"/>
        <v>0</v>
      </c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7"/>
      <c r="Q65" s="318"/>
      <c r="R65" s="318"/>
      <c r="S65" s="311" t="s">
        <v>42</v>
      </c>
      <c r="T65" s="251">
        <v>1270.5</v>
      </c>
      <c r="U65" s="251">
        <v>1419</v>
      </c>
      <c r="V65" s="288">
        <f>SUM(W65:AH65)</f>
        <v>1623.8</v>
      </c>
      <c r="W65" s="260">
        <v>46.8</v>
      </c>
      <c r="X65" s="260">
        <v>37.8</v>
      </c>
      <c r="Y65" s="260">
        <v>153</v>
      </c>
      <c r="Z65" s="251"/>
      <c r="AA65" s="270">
        <v>500</v>
      </c>
      <c r="AB65" s="260">
        <v>21</v>
      </c>
      <c r="AC65" s="251">
        <v>190</v>
      </c>
      <c r="AD65" s="251">
        <v>292</v>
      </c>
      <c r="AE65" s="260">
        <v>375</v>
      </c>
      <c r="AF65" s="265"/>
      <c r="AG65" s="265">
        <v>8.2</v>
      </c>
      <c r="AH65" s="251"/>
      <c r="AI65" s="271">
        <f t="shared" si="37"/>
        <v>114.43269908386186</v>
      </c>
      <c r="AJ65" s="253">
        <f t="shared" si="31"/>
        <v>127.80794962613145</v>
      </c>
    </row>
    <row r="66" spans="1:36" ht="15.75">
      <c r="A66" s="25" t="s">
        <v>220</v>
      </c>
      <c r="B66" s="107"/>
      <c r="C66" s="97">
        <f t="shared" si="34"/>
        <v>0</v>
      </c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7"/>
      <c r="Q66" s="318"/>
      <c r="R66" s="318"/>
      <c r="S66" s="311" t="s">
        <v>49</v>
      </c>
      <c r="T66" s="251">
        <v>27.1</v>
      </c>
      <c r="U66" s="251">
        <v>28.9</v>
      </c>
      <c r="V66" s="251">
        <f>V67/V65*10</f>
        <v>24.301527281684937</v>
      </c>
      <c r="W66" s="251">
        <v>11</v>
      </c>
      <c r="X66" s="251">
        <v>19</v>
      </c>
      <c r="Y66" s="251">
        <v>12</v>
      </c>
      <c r="Z66" s="251"/>
      <c r="AA66" s="251">
        <v>24</v>
      </c>
      <c r="AB66" s="251">
        <v>20</v>
      </c>
      <c r="AC66" s="251">
        <v>36</v>
      </c>
      <c r="AD66" s="251">
        <v>20</v>
      </c>
      <c r="AE66" s="251">
        <v>30</v>
      </c>
      <c r="AF66" s="251"/>
      <c r="AG66" s="251">
        <v>5.1</v>
      </c>
      <c r="AH66" s="251"/>
      <c r="AI66" s="271">
        <f t="shared" si="37"/>
        <v>84.08832969441154</v>
      </c>
      <c r="AJ66" s="253">
        <f t="shared" si="31"/>
        <v>89.67353240474147</v>
      </c>
    </row>
    <row r="67" spans="1:36" ht="15.75">
      <c r="A67" s="25" t="s">
        <v>221</v>
      </c>
      <c r="B67" s="107"/>
      <c r="C67" s="97">
        <f t="shared" si="34"/>
        <v>0</v>
      </c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7"/>
      <c r="Q67" s="318"/>
      <c r="R67" s="318"/>
      <c r="S67" s="311" t="s">
        <v>50</v>
      </c>
      <c r="T67" s="251">
        <v>3441.2</v>
      </c>
      <c r="U67" s="251">
        <v>4094</v>
      </c>
      <c r="V67" s="251">
        <f>SUM(W67:AH67)</f>
        <v>3946.082</v>
      </c>
      <c r="W67" s="260">
        <f>W66*W65/10</f>
        <v>51.48</v>
      </c>
      <c r="X67" s="260">
        <f aca="true" t="shared" si="39" ref="X67:AG67">X66*X65/10</f>
        <v>71.82</v>
      </c>
      <c r="Y67" s="260">
        <f t="shared" si="39"/>
        <v>183.6</v>
      </c>
      <c r="Z67" s="260"/>
      <c r="AA67" s="260">
        <f t="shared" si="39"/>
        <v>1200</v>
      </c>
      <c r="AB67" s="260">
        <f t="shared" si="39"/>
        <v>42</v>
      </c>
      <c r="AC67" s="260">
        <f t="shared" si="39"/>
        <v>684</v>
      </c>
      <c r="AD67" s="260">
        <f t="shared" si="39"/>
        <v>584</v>
      </c>
      <c r="AE67" s="260">
        <f t="shared" si="39"/>
        <v>1125</v>
      </c>
      <c r="AF67" s="260"/>
      <c r="AG67" s="260">
        <f t="shared" si="39"/>
        <v>4.1819999999999995</v>
      </c>
      <c r="AH67" s="260"/>
      <c r="AI67" s="271">
        <f t="shared" si="37"/>
        <v>96.38695652173914</v>
      </c>
      <c r="AJ67" s="253">
        <f t="shared" si="31"/>
        <v>114.67168429617575</v>
      </c>
    </row>
    <row r="68" spans="1:36" ht="15.75">
      <c r="A68" s="25" t="s">
        <v>198</v>
      </c>
      <c r="B68" s="107"/>
      <c r="C68" s="97">
        <f t="shared" si="34"/>
        <v>0</v>
      </c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7"/>
      <c r="Q68" s="318"/>
      <c r="R68" s="318"/>
      <c r="S68" s="280" t="s">
        <v>45</v>
      </c>
      <c r="T68" s="250">
        <v>706.8</v>
      </c>
      <c r="U68" s="250">
        <v>1840.8</v>
      </c>
      <c r="V68" s="250">
        <f>SUM(W68:AH68)</f>
        <v>1990.5</v>
      </c>
      <c r="W68" s="260"/>
      <c r="X68" s="261"/>
      <c r="Y68" s="261">
        <v>133.6</v>
      </c>
      <c r="Z68" s="260">
        <v>161.2</v>
      </c>
      <c r="AA68" s="261">
        <v>1340</v>
      </c>
      <c r="AB68" s="261"/>
      <c r="AC68" s="260">
        <v>43</v>
      </c>
      <c r="AD68" s="261">
        <v>144.3</v>
      </c>
      <c r="AE68" s="261">
        <v>168.4</v>
      </c>
      <c r="AF68" s="261"/>
      <c r="AG68" s="260"/>
      <c r="AH68" s="260"/>
      <c r="AI68" s="252">
        <f t="shared" si="37"/>
        <v>108.132333767927</v>
      </c>
      <c r="AJ68" s="253">
        <f t="shared" si="31"/>
        <v>281.62139219015285</v>
      </c>
    </row>
    <row r="69" spans="1:36" ht="15.75">
      <c r="A69" s="25" t="s">
        <v>296</v>
      </c>
      <c r="B69" s="107"/>
      <c r="C69" s="97">
        <f t="shared" si="34"/>
        <v>0</v>
      </c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7"/>
      <c r="Q69" s="318"/>
      <c r="R69" s="318"/>
      <c r="S69" s="255" t="s">
        <v>64</v>
      </c>
      <c r="T69" s="256">
        <v>1274.9</v>
      </c>
      <c r="U69" s="256">
        <v>1280.9</v>
      </c>
      <c r="V69" s="257">
        <f>SUM(W69:AH69)</f>
        <v>704</v>
      </c>
      <c r="W69" s="258"/>
      <c r="X69" s="256">
        <v>15</v>
      </c>
      <c r="Y69" s="272">
        <v>31</v>
      </c>
      <c r="Z69" s="256">
        <v>20</v>
      </c>
      <c r="AA69" s="272">
        <v>229</v>
      </c>
      <c r="AB69" s="256">
        <v>27</v>
      </c>
      <c r="AC69" s="258">
        <v>200</v>
      </c>
      <c r="AD69" s="256">
        <v>97</v>
      </c>
      <c r="AE69" s="273">
        <v>85</v>
      </c>
      <c r="AF69" s="296"/>
      <c r="AG69" s="267"/>
      <c r="AH69" s="267"/>
      <c r="AI69" s="259">
        <f t="shared" si="37"/>
        <v>54.961355297056755</v>
      </c>
      <c r="AJ69" s="253">
        <f t="shared" si="31"/>
        <v>55.220017256255396</v>
      </c>
    </row>
    <row r="70" spans="1:36" ht="15.75">
      <c r="A70" s="379" t="s">
        <v>88</v>
      </c>
      <c r="B70" s="380"/>
      <c r="C70" s="381">
        <f>SUM(D70:O70)</f>
        <v>12309.4</v>
      </c>
      <c r="D70" s="380"/>
      <c r="E70" s="380"/>
      <c r="F70" s="380">
        <v>117.2</v>
      </c>
      <c r="G70" s="380"/>
      <c r="H70" s="380"/>
      <c r="I70" s="380"/>
      <c r="J70" s="380"/>
      <c r="K70" s="380"/>
      <c r="L70" s="380">
        <v>60</v>
      </c>
      <c r="M70" s="380">
        <v>4653.5</v>
      </c>
      <c r="N70" s="380">
        <v>3224.7</v>
      </c>
      <c r="O70" s="380">
        <v>4254</v>
      </c>
      <c r="P70" s="382"/>
      <c r="Q70" s="318"/>
      <c r="R70" s="318"/>
      <c r="S70" s="280" t="s">
        <v>42</v>
      </c>
      <c r="T70" s="250">
        <v>1220.9</v>
      </c>
      <c r="U70" s="250">
        <v>1265.9</v>
      </c>
      <c r="V70" s="263">
        <f>SUM(W70:AH70)</f>
        <v>642.4</v>
      </c>
      <c r="W70" s="251"/>
      <c r="X70" s="250">
        <v>15</v>
      </c>
      <c r="Y70" s="306">
        <v>25.4</v>
      </c>
      <c r="Z70" s="250">
        <v>20</v>
      </c>
      <c r="AA70" s="306">
        <v>219</v>
      </c>
      <c r="AB70" s="250">
        <v>17</v>
      </c>
      <c r="AC70" s="251">
        <v>200</v>
      </c>
      <c r="AD70" s="250">
        <v>61</v>
      </c>
      <c r="AE70" s="308">
        <v>85</v>
      </c>
      <c r="AF70" s="305"/>
      <c r="AG70" s="289"/>
      <c r="AH70" s="289"/>
      <c r="AI70" s="252">
        <f t="shared" si="37"/>
        <v>50.74650446322774</v>
      </c>
      <c r="AJ70" s="253">
        <f t="shared" si="31"/>
        <v>52.61692194282905</v>
      </c>
    </row>
    <row r="71" spans="1:36" ht="15.75">
      <c r="A71" s="379" t="s">
        <v>87</v>
      </c>
      <c r="B71" s="380"/>
      <c r="C71" s="381">
        <f>SUM(D71:O71)</f>
        <v>12121.599999999999</v>
      </c>
      <c r="D71" s="380"/>
      <c r="E71" s="380"/>
      <c r="F71" s="380">
        <v>117.2</v>
      </c>
      <c r="G71" s="380"/>
      <c r="H71" s="380"/>
      <c r="I71" s="380"/>
      <c r="J71" s="380"/>
      <c r="K71" s="380"/>
      <c r="L71" s="380">
        <v>60</v>
      </c>
      <c r="M71" s="380">
        <v>4465.7</v>
      </c>
      <c r="N71" s="380">
        <v>3224.7</v>
      </c>
      <c r="O71" s="380">
        <v>4254</v>
      </c>
      <c r="P71" s="382"/>
      <c r="Q71" s="318"/>
      <c r="R71" s="318"/>
      <c r="S71" s="280" t="s">
        <v>49</v>
      </c>
      <c r="T71" s="250">
        <v>435.4</v>
      </c>
      <c r="U71" s="250">
        <v>444.8</v>
      </c>
      <c r="V71" s="250">
        <f>V72/V70*10</f>
        <v>351.961394769614</v>
      </c>
      <c r="W71" s="251"/>
      <c r="X71" s="250">
        <v>250</v>
      </c>
      <c r="Y71" s="312">
        <v>325</v>
      </c>
      <c r="Z71" s="250">
        <v>180</v>
      </c>
      <c r="AA71" s="312">
        <v>400</v>
      </c>
      <c r="AB71" s="250">
        <v>200</v>
      </c>
      <c r="AC71" s="251">
        <v>380</v>
      </c>
      <c r="AD71" s="250">
        <v>295</v>
      </c>
      <c r="AE71" s="312">
        <v>300</v>
      </c>
      <c r="AF71" s="305"/>
      <c r="AG71" s="289"/>
      <c r="AH71" s="289"/>
      <c r="AI71" s="252">
        <f t="shared" si="37"/>
        <v>79.12801141403192</v>
      </c>
      <c r="AJ71" s="253">
        <f t="shared" si="31"/>
        <v>80.83633320386174</v>
      </c>
    </row>
    <row r="72" spans="1:36" ht="15.75">
      <c r="A72" s="379" t="s">
        <v>84</v>
      </c>
      <c r="B72" s="380"/>
      <c r="C72" s="381">
        <f>C73/C71*10</f>
        <v>6.207876847940865</v>
      </c>
      <c r="D72" s="380"/>
      <c r="E72" s="380"/>
      <c r="F72" s="380">
        <v>8</v>
      </c>
      <c r="G72" s="380"/>
      <c r="H72" s="380"/>
      <c r="I72" s="380"/>
      <c r="J72" s="380"/>
      <c r="K72" s="380"/>
      <c r="L72" s="380">
        <v>7.5</v>
      </c>
      <c r="M72" s="380">
        <v>6</v>
      </c>
      <c r="N72" s="380">
        <v>8</v>
      </c>
      <c r="O72" s="380">
        <v>5</v>
      </c>
      <c r="P72" s="382"/>
      <c r="Q72" s="318"/>
      <c r="R72" s="318"/>
      <c r="S72" s="280" t="s">
        <v>50</v>
      </c>
      <c r="T72" s="250">
        <v>53155.5</v>
      </c>
      <c r="U72" s="250">
        <v>56310</v>
      </c>
      <c r="V72" s="250">
        <f>SUM(W72:AH72)</f>
        <v>22610</v>
      </c>
      <c r="W72" s="289"/>
      <c r="X72" s="305">
        <f aca="true" t="shared" si="40" ref="X72:AE72">X71*X70/10</f>
        <v>375</v>
      </c>
      <c r="Y72" s="305">
        <f t="shared" si="40"/>
        <v>825.5</v>
      </c>
      <c r="Z72" s="305">
        <f t="shared" si="40"/>
        <v>360</v>
      </c>
      <c r="AA72" s="305">
        <f t="shared" si="40"/>
        <v>8760</v>
      </c>
      <c r="AB72" s="305">
        <f t="shared" si="40"/>
        <v>340</v>
      </c>
      <c r="AC72" s="289">
        <f t="shared" si="40"/>
        <v>7600</v>
      </c>
      <c r="AD72" s="305">
        <f t="shared" si="40"/>
        <v>1799.5</v>
      </c>
      <c r="AE72" s="305">
        <f t="shared" si="40"/>
        <v>2550</v>
      </c>
      <c r="AF72" s="305"/>
      <c r="AG72" s="289"/>
      <c r="AH72" s="289"/>
      <c r="AI72" s="252">
        <f t="shared" si="37"/>
        <v>40.152725981175635</v>
      </c>
      <c r="AJ72" s="253">
        <f t="shared" si="31"/>
        <v>42.53557957313919</v>
      </c>
    </row>
    <row r="73" spans="1:36" ht="15.75">
      <c r="A73" s="379" t="s">
        <v>85</v>
      </c>
      <c r="B73" s="380"/>
      <c r="C73" s="381">
        <f>SUM(D73:O73)</f>
        <v>7524.939999999999</v>
      </c>
      <c r="D73" s="380"/>
      <c r="E73" s="380"/>
      <c r="F73" s="380">
        <f>F72*F71/10</f>
        <v>93.76</v>
      </c>
      <c r="G73" s="380"/>
      <c r="H73" s="380"/>
      <c r="I73" s="380"/>
      <c r="J73" s="380"/>
      <c r="K73" s="380"/>
      <c r="L73" s="380">
        <f>L72*L71/10</f>
        <v>45</v>
      </c>
      <c r="M73" s="380">
        <f>M72*M71/10</f>
        <v>2679.4199999999996</v>
      </c>
      <c r="N73" s="380">
        <f>N72*N71/10</f>
        <v>2579.7599999999998</v>
      </c>
      <c r="O73" s="380">
        <f>O72*O71/10</f>
        <v>2127</v>
      </c>
      <c r="P73" s="382"/>
      <c r="Q73" s="318"/>
      <c r="R73" s="318"/>
      <c r="S73" s="313" t="s">
        <v>45</v>
      </c>
      <c r="T73" s="314">
        <v>17</v>
      </c>
      <c r="U73" s="314">
        <v>45</v>
      </c>
      <c r="V73" s="314">
        <f>SUM(W73:AH73)</f>
        <v>588.5</v>
      </c>
      <c r="W73" s="315"/>
      <c r="X73" s="314">
        <v>35</v>
      </c>
      <c r="Y73" s="314"/>
      <c r="Z73" s="314">
        <v>7</v>
      </c>
      <c r="AA73" s="314"/>
      <c r="AB73" s="314">
        <v>78</v>
      </c>
      <c r="AC73" s="315">
        <v>426.5</v>
      </c>
      <c r="AD73" s="314">
        <v>28</v>
      </c>
      <c r="AE73" s="314">
        <v>14</v>
      </c>
      <c r="AF73" s="314"/>
      <c r="AG73" s="315"/>
      <c r="AH73" s="315"/>
      <c r="AI73" s="316">
        <f>V73/U73*100</f>
        <v>1307.7777777777778</v>
      </c>
      <c r="AJ73" s="317">
        <f t="shared" si="31"/>
        <v>3461.7647058823527</v>
      </c>
    </row>
    <row r="74" spans="1:18" ht="15.75">
      <c r="A74" s="379" t="s">
        <v>208</v>
      </c>
      <c r="B74" s="380"/>
      <c r="C74" s="381">
        <f>SUM(D74:O74)</f>
        <v>9713.2</v>
      </c>
      <c r="D74" s="380"/>
      <c r="E74" s="380"/>
      <c r="F74" s="380">
        <f>F47-F70</f>
        <v>105.8</v>
      </c>
      <c r="G74" s="380"/>
      <c r="H74" s="380"/>
      <c r="I74" s="380"/>
      <c r="J74" s="380"/>
      <c r="K74" s="380"/>
      <c r="L74" s="380">
        <f>L47-L70</f>
        <v>130</v>
      </c>
      <c r="M74" s="380">
        <f>M47-M70</f>
        <v>4814.700000000001</v>
      </c>
      <c r="N74" s="380">
        <f>N47-N70</f>
        <v>2974.6000000000004</v>
      </c>
      <c r="O74" s="380">
        <f>O47-O70</f>
        <v>1688.1000000000004</v>
      </c>
      <c r="P74" s="382"/>
      <c r="Q74" s="318"/>
      <c r="R74" s="318"/>
    </row>
    <row r="75" spans="1:18" ht="15.75">
      <c r="A75" s="379" t="s">
        <v>87</v>
      </c>
      <c r="B75" s="380"/>
      <c r="C75" s="381">
        <f>SUM(D75:O75)</f>
        <v>10794</v>
      </c>
      <c r="D75" s="380"/>
      <c r="E75" s="380"/>
      <c r="F75" s="380">
        <f>F50-F71</f>
        <v>160.8</v>
      </c>
      <c r="G75" s="380"/>
      <c r="H75" s="380"/>
      <c r="I75" s="380"/>
      <c r="J75" s="380"/>
      <c r="K75" s="380"/>
      <c r="L75" s="380">
        <f>L50-L71</f>
        <v>130</v>
      </c>
      <c r="M75" s="380">
        <f>M50-M71</f>
        <v>5480.900000000001</v>
      </c>
      <c r="N75" s="380">
        <f>N50-N71</f>
        <v>3525.3</v>
      </c>
      <c r="O75" s="380">
        <f>O50-O71</f>
        <v>1497</v>
      </c>
      <c r="P75" s="382"/>
      <c r="Q75" s="318"/>
      <c r="R75" s="318"/>
    </row>
    <row r="76" spans="1:18" ht="15.75">
      <c r="A76" s="379" t="s">
        <v>84</v>
      </c>
      <c r="B76" s="380"/>
      <c r="C76" s="381">
        <f>C77/C75*10</f>
        <v>-6.9714100426162675</v>
      </c>
      <c r="D76" s="380"/>
      <c r="E76" s="380"/>
      <c r="F76" s="380">
        <f>F77/F75*10</f>
        <v>-5.830845771144278</v>
      </c>
      <c r="G76" s="380"/>
      <c r="H76" s="380"/>
      <c r="I76" s="380"/>
      <c r="J76" s="380"/>
      <c r="K76" s="380"/>
      <c r="L76" s="380">
        <f>L77/L75*10</f>
        <v>-3.4615384615384617</v>
      </c>
      <c r="M76" s="380">
        <f>M77/M75*10</f>
        <v>-4.888649674323559</v>
      </c>
      <c r="N76" s="380">
        <f>N77/N75*10</f>
        <v>-7.317845289762572</v>
      </c>
      <c r="O76" s="380">
        <f>O77/O75*10</f>
        <v>-14.208416833667334</v>
      </c>
      <c r="P76" s="382"/>
      <c r="Q76" s="318"/>
      <c r="R76" s="318"/>
    </row>
    <row r="77" spans="1:18" ht="15.75">
      <c r="A77" s="379" t="s">
        <v>85</v>
      </c>
      <c r="B77" s="380"/>
      <c r="C77" s="381">
        <f>SUM(D77:O77)</f>
        <v>-7524.939999999999</v>
      </c>
      <c r="D77" s="381"/>
      <c r="E77" s="380"/>
      <c r="F77" s="381">
        <f>F52-F73</f>
        <v>-93.76</v>
      </c>
      <c r="G77" s="381"/>
      <c r="H77" s="381"/>
      <c r="I77" s="381"/>
      <c r="J77" s="381"/>
      <c r="K77" s="381"/>
      <c r="L77" s="381">
        <f>L52-L73</f>
        <v>-45</v>
      </c>
      <c r="M77" s="381">
        <f>M52-M73</f>
        <v>-2679.4199999999996</v>
      </c>
      <c r="N77" s="381">
        <f>N52-N73</f>
        <v>-2579.7599999999998</v>
      </c>
      <c r="O77" s="381">
        <f>O52-O73</f>
        <v>-2127</v>
      </c>
      <c r="P77" s="382" t="e">
        <f t="shared" si="17"/>
        <v>#DIV/0!</v>
      </c>
      <c r="Q77" s="318"/>
      <c r="R77" s="318"/>
    </row>
    <row r="78" spans="1:18" ht="15.75">
      <c r="A78" s="21" t="s">
        <v>126</v>
      </c>
      <c r="B78" s="45">
        <v>1995.5</v>
      </c>
      <c r="C78" s="22">
        <f t="shared" si="34"/>
        <v>1990.6000000000001</v>
      </c>
      <c r="D78" s="132"/>
      <c r="E78" s="132">
        <v>78.3</v>
      </c>
      <c r="F78" s="132">
        <v>92</v>
      </c>
      <c r="G78" s="132"/>
      <c r="H78" s="132">
        <v>363.6</v>
      </c>
      <c r="I78" s="132">
        <v>5.5</v>
      </c>
      <c r="J78" s="132">
        <v>445</v>
      </c>
      <c r="K78" s="132">
        <v>670.5</v>
      </c>
      <c r="L78" s="132">
        <v>200</v>
      </c>
      <c r="M78" s="132">
        <v>37.9</v>
      </c>
      <c r="N78" s="132">
        <v>58</v>
      </c>
      <c r="O78" s="132">
        <v>39.8</v>
      </c>
      <c r="P78" s="24">
        <f t="shared" si="17"/>
        <v>99.75444750689051</v>
      </c>
      <c r="Q78" s="318" t="s">
        <v>302</v>
      </c>
      <c r="R78" s="320">
        <f>C78-V34</f>
        <v>-11.470000000000027</v>
      </c>
    </row>
    <row r="79" spans="1:18" ht="15.75">
      <c r="A79" s="105" t="s">
        <v>96</v>
      </c>
      <c r="B79" s="30"/>
      <c r="C79" s="26">
        <f t="shared" si="34"/>
        <v>1171.8</v>
      </c>
      <c r="D79" s="367"/>
      <c r="E79" s="367">
        <v>78.3</v>
      </c>
      <c r="F79" s="367">
        <v>72</v>
      </c>
      <c r="G79" s="367"/>
      <c r="H79" s="367">
        <v>44.5</v>
      </c>
      <c r="I79" s="367">
        <v>5.5</v>
      </c>
      <c r="J79" s="367">
        <v>90</v>
      </c>
      <c r="K79" s="367">
        <v>585.9</v>
      </c>
      <c r="L79" s="367">
        <v>200</v>
      </c>
      <c r="M79" s="367">
        <v>36.6</v>
      </c>
      <c r="N79" s="367">
        <v>43.5</v>
      </c>
      <c r="O79" s="367">
        <v>15.5</v>
      </c>
      <c r="P79" s="98"/>
      <c r="Q79" s="318"/>
      <c r="R79" s="318"/>
    </row>
    <row r="80" spans="1:18" ht="15.75">
      <c r="A80" s="105" t="s">
        <v>97</v>
      </c>
      <c r="B80" s="207"/>
      <c r="C80" s="26">
        <f t="shared" si="34"/>
        <v>780.9</v>
      </c>
      <c r="D80" s="367"/>
      <c r="E80" s="367">
        <f>E78-E79</f>
        <v>0</v>
      </c>
      <c r="F80" s="367">
        <f>F78-F79</f>
        <v>20</v>
      </c>
      <c r="G80" s="367"/>
      <c r="H80" s="367">
        <f aca="true" t="shared" si="41" ref="H80:O80">H78-H79</f>
        <v>319.1</v>
      </c>
      <c r="I80" s="367">
        <f t="shared" si="41"/>
        <v>0</v>
      </c>
      <c r="J80" s="367">
        <f t="shared" si="41"/>
        <v>355</v>
      </c>
      <c r="K80" s="367">
        <v>46.7</v>
      </c>
      <c r="L80" s="367">
        <f t="shared" si="41"/>
        <v>0</v>
      </c>
      <c r="M80" s="367">
        <f t="shared" si="41"/>
        <v>1.2999999999999972</v>
      </c>
      <c r="N80" s="367">
        <f t="shared" si="41"/>
        <v>14.5</v>
      </c>
      <c r="O80" s="367">
        <f t="shared" si="41"/>
        <v>24.299999999999997</v>
      </c>
      <c r="P80" s="98"/>
      <c r="Q80" s="318"/>
      <c r="R80" s="318"/>
    </row>
    <row r="81" spans="1:18" ht="15.75">
      <c r="A81" s="99" t="s">
        <v>87</v>
      </c>
      <c r="B81" s="207">
        <v>1982.8</v>
      </c>
      <c r="C81" s="26">
        <f t="shared" si="34"/>
        <v>1948.9</v>
      </c>
      <c r="D81" s="30"/>
      <c r="E81" s="30">
        <v>68</v>
      </c>
      <c r="F81" s="30">
        <v>92.6</v>
      </c>
      <c r="G81" s="30"/>
      <c r="H81" s="30">
        <v>363.6</v>
      </c>
      <c r="I81" s="30">
        <v>5.5</v>
      </c>
      <c r="J81" s="30">
        <v>414</v>
      </c>
      <c r="K81" s="30">
        <v>670</v>
      </c>
      <c r="L81" s="30">
        <v>200</v>
      </c>
      <c r="M81" s="30">
        <v>36.6</v>
      </c>
      <c r="N81" s="30">
        <v>60.4</v>
      </c>
      <c r="O81" s="30">
        <v>38.2</v>
      </c>
      <c r="P81" s="98">
        <f t="shared" si="17"/>
        <v>98.29029655033287</v>
      </c>
      <c r="Q81" s="318"/>
      <c r="R81" s="318"/>
    </row>
    <row r="82" spans="1:18" ht="15.75">
      <c r="A82" s="99" t="s">
        <v>84</v>
      </c>
      <c r="B82" s="207">
        <v>32.6</v>
      </c>
      <c r="C82" s="29">
        <f>C83/C81*10</f>
        <v>0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98">
        <f t="shared" si="17"/>
        <v>0</v>
      </c>
      <c r="Q82" s="318"/>
      <c r="R82" s="318"/>
    </row>
    <row r="83" spans="1:18" ht="15.75">
      <c r="A83" s="99" t="s">
        <v>85</v>
      </c>
      <c r="B83" s="207">
        <v>6470.3</v>
      </c>
      <c r="C83" s="26">
        <f aca="true" t="shared" si="42" ref="C83:C88">SUM(D83:O83)</f>
        <v>0</v>
      </c>
      <c r="D83" s="30"/>
      <c r="E83" s="30">
        <f aca="true" t="shared" si="43" ref="E83:K83">E82*E81/10</f>
        <v>0</v>
      </c>
      <c r="F83" s="30">
        <f t="shared" si="43"/>
        <v>0</v>
      </c>
      <c r="G83" s="30"/>
      <c r="H83" s="30">
        <f t="shared" si="43"/>
        <v>0</v>
      </c>
      <c r="I83" s="30">
        <f t="shared" si="43"/>
        <v>0</v>
      </c>
      <c r="J83" s="30">
        <f t="shared" si="43"/>
        <v>0</v>
      </c>
      <c r="K83" s="30">
        <f t="shared" si="43"/>
        <v>0</v>
      </c>
      <c r="L83" s="30">
        <f>L82*L81/10</f>
        <v>0</v>
      </c>
      <c r="M83" s="30">
        <f>M82*M81/10</f>
        <v>0</v>
      </c>
      <c r="N83" s="30">
        <f>N82*N81/10</f>
        <v>0</v>
      </c>
      <c r="O83" s="30">
        <f>O82*O81/10</f>
        <v>0</v>
      </c>
      <c r="P83" s="98">
        <f t="shared" si="17"/>
        <v>0</v>
      </c>
      <c r="Q83" s="318"/>
      <c r="R83" s="318"/>
    </row>
    <row r="84" spans="1:18" ht="15.75">
      <c r="A84" s="99" t="s">
        <v>190</v>
      </c>
      <c r="B84" s="207">
        <v>10.8</v>
      </c>
      <c r="C84" s="26">
        <f t="shared" si="42"/>
        <v>0</v>
      </c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7">
        <f t="shared" si="17"/>
        <v>0</v>
      </c>
      <c r="Q84" s="318"/>
      <c r="R84" s="318"/>
    </row>
    <row r="85" spans="1:18" ht="15.75">
      <c r="A85" s="21" t="s">
        <v>127</v>
      </c>
      <c r="B85" s="23">
        <v>10553.5</v>
      </c>
      <c r="C85" s="22">
        <f t="shared" si="42"/>
        <v>9972.6</v>
      </c>
      <c r="D85" s="130"/>
      <c r="E85" s="130">
        <v>726.2</v>
      </c>
      <c r="F85" s="130">
        <v>610</v>
      </c>
      <c r="G85" s="130"/>
      <c r="H85" s="130">
        <v>3583</v>
      </c>
      <c r="I85" s="130">
        <v>4</v>
      </c>
      <c r="J85" s="130">
        <v>1644</v>
      </c>
      <c r="K85" s="130">
        <v>744</v>
      </c>
      <c r="L85" s="130">
        <v>576</v>
      </c>
      <c r="M85" s="130">
        <v>226.2</v>
      </c>
      <c r="N85" s="130">
        <v>1662</v>
      </c>
      <c r="O85" s="130">
        <v>197.2</v>
      </c>
      <c r="P85" s="24">
        <f t="shared" si="17"/>
        <v>94.49566494527882</v>
      </c>
      <c r="Q85" s="318" t="s">
        <v>302</v>
      </c>
      <c r="R85" s="320">
        <f>C85-V39</f>
        <v>428.53000000000065</v>
      </c>
    </row>
    <row r="86" spans="1:18" ht="15.75">
      <c r="A86" s="105" t="s">
        <v>96</v>
      </c>
      <c r="B86" s="30"/>
      <c r="C86" s="26">
        <f t="shared" si="42"/>
        <v>547.3</v>
      </c>
      <c r="D86" s="84"/>
      <c r="E86" s="84"/>
      <c r="F86" s="84"/>
      <c r="G86" s="84"/>
      <c r="H86" s="84">
        <v>170</v>
      </c>
      <c r="I86" s="84"/>
      <c r="J86" s="84">
        <v>5</v>
      </c>
      <c r="K86" s="84">
        <v>23.5</v>
      </c>
      <c r="L86" s="84">
        <v>348.8</v>
      </c>
      <c r="M86" s="84"/>
      <c r="N86" s="84"/>
      <c r="O86" s="84"/>
      <c r="P86" s="27"/>
      <c r="Q86" s="318"/>
      <c r="R86" s="318"/>
    </row>
    <row r="87" spans="1:18" ht="15.75">
      <c r="A87" s="105" t="s">
        <v>97</v>
      </c>
      <c r="B87" s="107"/>
      <c r="C87" s="97">
        <f t="shared" si="42"/>
        <v>9425.3</v>
      </c>
      <c r="D87" s="84"/>
      <c r="E87" s="84">
        <f>E85-E86</f>
        <v>726.2</v>
      </c>
      <c r="F87" s="84">
        <f>F85-F86</f>
        <v>610</v>
      </c>
      <c r="G87" s="84"/>
      <c r="H87" s="84">
        <f aca="true" t="shared" si="44" ref="H87:O87">H85-H86</f>
        <v>3413</v>
      </c>
      <c r="I87" s="84">
        <f t="shared" si="44"/>
        <v>4</v>
      </c>
      <c r="J87" s="84">
        <f t="shared" si="44"/>
        <v>1639</v>
      </c>
      <c r="K87" s="84">
        <f t="shared" si="44"/>
        <v>720.5</v>
      </c>
      <c r="L87" s="84">
        <f t="shared" si="44"/>
        <v>227.2</v>
      </c>
      <c r="M87" s="84">
        <f t="shared" si="44"/>
        <v>226.2</v>
      </c>
      <c r="N87" s="84">
        <f t="shared" si="44"/>
        <v>1662</v>
      </c>
      <c r="O87" s="84">
        <f t="shared" si="44"/>
        <v>197.2</v>
      </c>
      <c r="P87" s="98"/>
      <c r="Q87" s="318"/>
      <c r="R87" s="318"/>
    </row>
    <row r="88" spans="1:18" ht="15.75">
      <c r="A88" s="99" t="s">
        <v>87</v>
      </c>
      <c r="B88" s="96">
        <v>9967</v>
      </c>
      <c r="C88" s="97">
        <f t="shared" si="42"/>
        <v>9497.300000000001</v>
      </c>
      <c r="D88" s="30"/>
      <c r="E88" s="30">
        <v>721.2</v>
      </c>
      <c r="F88" s="30">
        <v>575</v>
      </c>
      <c r="G88" s="30"/>
      <c r="H88" s="84">
        <v>3478</v>
      </c>
      <c r="I88" s="84">
        <v>4</v>
      </c>
      <c r="J88" s="84">
        <v>1641.8</v>
      </c>
      <c r="K88" s="84">
        <v>634.6</v>
      </c>
      <c r="L88" s="84">
        <v>357.3</v>
      </c>
      <c r="M88" s="84">
        <v>226.2</v>
      </c>
      <c r="N88" s="84">
        <v>1662</v>
      </c>
      <c r="O88" s="84">
        <v>197.2</v>
      </c>
      <c r="P88" s="27">
        <f t="shared" si="17"/>
        <v>95.28744858031504</v>
      </c>
      <c r="Q88" s="318"/>
      <c r="R88" s="318"/>
    </row>
    <row r="89" spans="1:18" ht="15.75">
      <c r="A89" s="25" t="s">
        <v>84</v>
      </c>
      <c r="B89" s="46">
        <v>278.4</v>
      </c>
      <c r="C89" s="29">
        <f>(C90/C88*10)*12</f>
        <v>267.47974687542774</v>
      </c>
      <c r="D89" s="30"/>
      <c r="E89" s="30">
        <v>212</v>
      </c>
      <c r="F89" s="30">
        <v>187</v>
      </c>
      <c r="G89" s="30"/>
      <c r="H89" s="191">
        <v>260</v>
      </c>
      <c r="I89" s="191">
        <v>200</v>
      </c>
      <c r="J89" s="30">
        <v>350</v>
      </c>
      <c r="K89" s="30">
        <v>340</v>
      </c>
      <c r="L89" s="191">
        <v>350</v>
      </c>
      <c r="M89" s="191">
        <v>180</v>
      </c>
      <c r="N89" s="30">
        <v>235</v>
      </c>
      <c r="O89" s="30">
        <v>142.5</v>
      </c>
      <c r="P89" s="98">
        <f t="shared" si="17"/>
        <v>96.077495285714</v>
      </c>
      <c r="Q89" s="318"/>
      <c r="R89" s="318"/>
    </row>
    <row r="90" spans="1:18" ht="15.75">
      <c r="A90" s="99" t="s">
        <v>85</v>
      </c>
      <c r="B90" s="207">
        <v>277509</v>
      </c>
      <c r="C90" s="26">
        <f aca="true" t="shared" si="45" ref="C90:C98">SUM(D90:O90)</f>
        <v>21169.461666666666</v>
      </c>
      <c r="D90" s="30"/>
      <c r="E90" s="30">
        <f>(E89*E88/10)/12</f>
        <v>1274.1200000000001</v>
      </c>
      <c r="F90" s="30">
        <f>(F89*F88/10)/12</f>
        <v>896.0416666666666</v>
      </c>
      <c r="G90" s="30"/>
      <c r="H90" s="30">
        <f aca="true" t="shared" si="46" ref="H90:O90">(H89*H88/10)/12</f>
        <v>7535.666666666667</v>
      </c>
      <c r="I90" s="30">
        <f t="shared" si="46"/>
        <v>6.666666666666667</v>
      </c>
      <c r="J90" s="30">
        <f t="shared" si="46"/>
        <v>4788.583333333333</v>
      </c>
      <c r="K90" s="30">
        <f t="shared" si="46"/>
        <v>1798.0333333333335</v>
      </c>
      <c r="L90" s="30">
        <f t="shared" si="46"/>
        <v>1042.125</v>
      </c>
      <c r="M90" s="30">
        <f t="shared" si="46"/>
        <v>339.3</v>
      </c>
      <c r="N90" s="30">
        <f t="shared" si="46"/>
        <v>3254.75</v>
      </c>
      <c r="O90" s="30">
        <f t="shared" si="46"/>
        <v>234.17499999999998</v>
      </c>
      <c r="P90" s="98">
        <f t="shared" si="17"/>
        <v>7.628387427675018</v>
      </c>
      <c r="Q90" s="318"/>
      <c r="R90" s="318"/>
    </row>
    <row r="91" spans="1:18" ht="15.75">
      <c r="A91" s="99" t="s">
        <v>45</v>
      </c>
      <c r="B91" s="207">
        <v>582.1</v>
      </c>
      <c r="C91" s="372">
        <f t="shared" si="45"/>
        <v>0</v>
      </c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376">
        <f t="shared" si="17"/>
        <v>0</v>
      </c>
      <c r="Q91" s="318"/>
      <c r="R91" s="318"/>
    </row>
    <row r="92" spans="1:18" ht="15.75">
      <c r="A92" s="379" t="s">
        <v>46</v>
      </c>
      <c r="B92" s="380"/>
      <c r="C92" s="381">
        <f>SUM(D92:O92)</f>
        <v>8203.455</v>
      </c>
      <c r="D92" s="381"/>
      <c r="E92" s="381">
        <f>E87/100*85</f>
        <v>617.27</v>
      </c>
      <c r="F92" s="381">
        <v>494</v>
      </c>
      <c r="G92" s="381"/>
      <c r="H92" s="381">
        <f>H87/100*85</f>
        <v>2901.05</v>
      </c>
      <c r="I92" s="381"/>
      <c r="J92" s="381">
        <v>1613</v>
      </c>
      <c r="K92" s="381">
        <f>K87/100*85</f>
        <v>612.425</v>
      </c>
      <c r="L92" s="381">
        <f>L87/100*85</f>
        <v>193.11999999999998</v>
      </c>
      <c r="M92" s="381">
        <f>M87/100*85</f>
        <v>192.27</v>
      </c>
      <c r="N92" s="381">
        <f>N87/100*85</f>
        <v>1412.7</v>
      </c>
      <c r="O92" s="381">
        <f>O87/100*85</f>
        <v>167.62</v>
      </c>
      <c r="P92" s="382" t="e">
        <f>C92/B92*100</f>
        <v>#DIV/0!</v>
      </c>
      <c r="Q92" s="318"/>
      <c r="R92" s="318"/>
    </row>
    <row r="93" spans="1:18" ht="15.75">
      <c r="A93" s="379" t="s">
        <v>84</v>
      </c>
      <c r="B93" s="380"/>
      <c r="C93" s="381">
        <f>C94/C92*10</f>
        <v>0</v>
      </c>
      <c r="D93" s="383"/>
      <c r="E93" s="383"/>
      <c r="F93" s="383"/>
      <c r="G93" s="383"/>
      <c r="H93" s="383"/>
      <c r="I93" s="383"/>
      <c r="J93" s="383"/>
      <c r="K93" s="383"/>
      <c r="L93" s="383"/>
      <c r="M93" s="383"/>
      <c r="N93" s="383"/>
      <c r="O93" s="383"/>
      <c r="P93" s="382" t="e">
        <f>C93/B93*100</f>
        <v>#DIV/0!</v>
      </c>
      <c r="Q93" s="318"/>
      <c r="R93" s="318"/>
    </row>
    <row r="94" spans="1:18" ht="15.75">
      <c r="A94" s="379" t="s">
        <v>85</v>
      </c>
      <c r="B94" s="380"/>
      <c r="C94" s="381">
        <f t="shared" si="45"/>
        <v>0</v>
      </c>
      <c r="D94" s="384"/>
      <c r="E94" s="384">
        <f>E93*E92/10</f>
        <v>0</v>
      </c>
      <c r="F94" s="384">
        <f>F93*F92/10</f>
        <v>0</v>
      </c>
      <c r="G94" s="384"/>
      <c r="H94" s="384">
        <f>H93*H92/10</f>
        <v>0</v>
      </c>
      <c r="I94" s="384"/>
      <c r="J94" s="384">
        <f aca="true" t="shared" si="47" ref="J94:O94">J93*J92/10</f>
        <v>0</v>
      </c>
      <c r="K94" s="384">
        <f t="shared" si="47"/>
        <v>0</v>
      </c>
      <c r="L94" s="384">
        <f t="shared" si="47"/>
        <v>0</v>
      </c>
      <c r="M94" s="384">
        <f t="shared" si="47"/>
        <v>0</v>
      </c>
      <c r="N94" s="384">
        <f t="shared" si="47"/>
        <v>0</v>
      </c>
      <c r="O94" s="384">
        <f t="shared" si="47"/>
        <v>0</v>
      </c>
      <c r="P94" s="382" t="e">
        <f t="shared" si="17"/>
        <v>#DIV/0!</v>
      </c>
      <c r="Q94" s="318"/>
      <c r="R94" s="318"/>
    </row>
    <row r="95" spans="1:18" ht="15.75">
      <c r="A95" s="129" t="s">
        <v>128</v>
      </c>
      <c r="B95" s="23">
        <v>32911.3</v>
      </c>
      <c r="C95" s="22">
        <f t="shared" si="45"/>
        <v>31450.1</v>
      </c>
      <c r="D95" s="132">
        <v>660</v>
      </c>
      <c r="E95" s="132">
        <v>1452</v>
      </c>
      <c r="F95" s="132">
        <v>1892</v>
      </c>
      <c r="G95" s="132">
        <v>1265</v>
      </c>
      <c r="H95" s="132">
        <v>1930</v>
      </c>
      <c r="I95" s="132">
        <v>1497</v>
      </c>
      <c r="J95" s="132">
        <v>1411.7</v>
      </c>
      <c r="K95" s="132">
        <v>7355.8</v>
      </c>
      <c r="L95" s="132">
        <v>5046</v>
      </c>
      <c r="M95" s="132">
        <v>5427.1</v>
      </c>
      <c r="N95" s="132">
        <v>2369.2</v>
      </c>
      <c r="O95" s="132">
        <v>1144.3</v>
      </c>
      <c r="P95" s="24">
        <f t="shared" si="17"/>
        <v>95.56018753437267</v>
      </c>
      <c r="Q95" s="318" t="s">
        <v>302</v>
      </c>
      <c r="R95" s="320">
        <f>C95-V45</f>
        <v>2097.7999999999956</v>
      </c>
    </row>
    <row r="96" spans="1:18" ht="15.75">
      <c r="A96" s="105" t="s">
        <v>96</v>
      </c>
      <c r="B96" s="207"/>
      <c r="C96" s="26">
        <f t="shared" si="45"/>
        <v>24740.9</v>
      </c>
      <c r="D96" s="46">
        <f>D95-D97</f>
        <v>660</v>
      </c>
      <c r="E96" s="46">
        <f aca="true" t="shared" si="48" ref="E96:O96">E95-E97</f>
        <v>957</v>
      </c>
      <c r="F96" s="46">
        <f t="shared" si="48"/>
        <v>1262</v>
      </c>
      <c r="G96" s="46">
        <f t="shared" si="48"/>
        <v>1250</v>
      </c>
      <c r="H96" s="46">
        <f t="shared" si="48"/>
        <v>1491.9</v>
      </c>
      <c r="I96" s="46">
        <f t="shared" si="48"/>
        <v>1414</v>
      </c>
      <c r="J96" s="46">
        <f t="shared" si="48"/>
        <v>1206.7</v>
      </c>
      <c r="K96" s="46">
        <f t="shared" si="48"/>
        <v>7235.7</v>
      </c>
      <c r="L96" s="46">
        <f t="shared" si="48"/>
        <v>4469</v>
      </c>
      <c r="M96" s="46">
        <f t="shared" si="48"/>
        <v>2076.1000000000004</v>
      </c>
      <c r="N96" s="46">
        <f t="shared" si="48"/>
        <v>1739.1999999999998</v>
      </c>
      <c r="O96" s="46">
        <f t="shared" si="48"/>
        <v>979.3</v>
      </c>
      <c r="P96" s="27" t="e">
        <f t="shared" si="17"/>
        <v>#DIV/0!</v>
      </c>
      <c r="Q96" s="318"/>
      <c r="R96" s="318"/>
    </row>
    <row r="97" spans="1:18" ht="15.75">
      <c r="A97" s="33" t="s">
        <v>97</v>
      </c>
      <c r="B97" s="107"/>
      <c r="C97" s="26">
        <f t="shared" si="45"/>
        <v>6709.2</v>
      </c>
      <c r="D97" s="46">
        <f>D104+D111+D118+D125+D132+D146+D153+D160</f>
        <v>0</v>
      </c>
      <c r="E97" s="46">
        <v>495</v>
      </c>
      <c r="F97" s="46">
        <f>F104+F111+F118+F125+F132+F146+F153+F160</f>
        <v>630</v>
      </c>
      <c r="G97" s="46">
        <v>15</v>
      </c>
      <c r="H97" s="46">
        <v>438.1</v>
      </c>
      <c r="I97" s="46">
        <v>83</v>
      </c>
      <c r="J97" s="46">
        <v>205</v>
      </c>
      <c r="K97" s="46">
        <v>120.1</v>
      </c>
      <c r="L97" s="46">
        <v>577</v>
      </c>
      <c r="M97" s="46">
        <v>3351</v>
      </c>
      <c r="N97" s="46">
        <v>630</v>
      </c>
      <c r="O97" s="46">
        <v>165</v>
      </c>
      <c r="P97" s="27" t="e">
        <f t="shared" si="17"/>
        <v>#DIV/0!</v>
      </c>
      <c r="Q97" s="322"/>
      <c r="R97" s="318"/>
    </row>
    <row r="98" spans="1:18" ht="15.75">
      <c r="A98" s="99" t="s">
        <v>87</v>
      </c>
      <c r="B98" s="207">
        <v>19347</v>
      </c>
      <c r="C98" s="26">
        <f t="shared" si="45"/>
        <v>17651.5</v>
      </c>
      <c r="D98" s="191">
        <v>500</v>
      </c>
      <c r="E98" s="191">
        <v>800</v>
      </c>
      <c r="F98" s="191">
        <v>875</v>
      </c>
      <c r="G98" s="191">
        <v>718</v>
      </c>
      <c r="H98" s="191">
        <v>875.5</v>
      </c>
      <c r="I98" s="191">
        <v>1447</v>
      </c>
      <c r="J98" s="191">
        <v>1118</v>
      </c>
      <c r="K98" s="191">
        <v>3050</v>
      </c>
      <c r="L98" s="191">
        <v>3887</v>
      </c>
      <c r="M98" s="191">
        <v>2901</v>
      </c>
      <c r="N98" s="191">
        <v>860</v>
      </c>
      <c r="O98" s="191">
        <v>620</v>
      </c>
      <c r="P98" s="27">
        <f t="shared" si="17"/>
        <v>91.23636739546183</v>
      </c>
      <c r="Q98" s="323"/>
      <c r="R98" s="318"/>
    </row>
    <row r="99" spans="1:18" ht="15.75">
      <c r="A99" s="25" t="s">
        <v>84</v>
      </c>
      <c r="B99" s="107">
        <v>160.3</v>
      </c>
      <c r="C99" s="26">
        <f>(C100/C98*10)*12</f>
        <v>157.90556043395748</v>
      </c>
      <c r="D99" s="192">
        <v>130</v>
      </c>
      <c r="E99" s="192">
        <v>150</v>
      </c>
      <c r="F99" s="192">
        <v>130</v>
      </c>
      <c r="G99" s="192">
        <v>130</v>
      </c>
      <c r="H99" s="192">
        <v>160</v>
      </c>
      <c r="I99" s="192">
        <v>140</v>
      </c>
      <c r="J99" s="192">
        <v>340</v>
      </c>
      <c r="K99" s="192">
        <v>150</v>
      </c>
      <c r="L99" s="192">
        <v>150</v>
      </c>
      <c r="M99" s="192">
        <v>150</v>
      </c>
      <c r="N99" s="192">
        <v>135</v>
      </c>
      <c r="O99" s="192">
        <v>130</v>
      </c>
      <c r="P99" s="27">
        <f t="shared" si="17"/>
        <v>98.50627600371644</v>
      </c>
      <c r="Q99" s="323"/>
      <c r="R99" s="318"/>
    </row>
    <row r="100" spans="1:18" ht="15.75">
      <c r="A100" s="99" t="s">
        <v>85</v>
      </c>
      <c r="B100" s="207">
        <v>310077.1</v>
      </c>
      <c r="C100" s="26">
        <f aca="true" t="shared" si="49" ref="C100:C105">SUM(D100:O100)</f>
        <v>23227.250000000004</v>
      </c>
      <c r="D100" s="46">
        <f>(D99*D98/10)/12</f>
        <v>541.6666666666666</v>
      </c>
      <c r="E100" s="46">
        <f aca="true" t="shared" si="50" ref="E100:O100">(E99*E98/10)/12</f>
        <v>1000</v>
      </c>
      <c r="F100" s="46">
        <f t="shared" si="50"/>
        <v>947.9166666666666</v>
      </c>
      <c r="G100" s="46">
        <f t="shared" si="50"/>
        <v>777.8333333333334</v>
      </c>
      <c r="H100" s="46">
        <f t="shared" si="50"/>
        <v>1167.3333333333333</v>
      </c>
      <c r="I100" s="46">
        <f t="shared" si="50"/>
        <v>1688.1666666666667</v>
      </c>
      <c r="J100" s="46">
        <f t="shared" si="50"/>
        <v>3167.6666666666665</v>
      </c>
      <c r="K100" s="46">
        <f t="shared" si="50"/>
        <v>3812.5</v>
      </c>
      <c r="L100" s="46">
        <f t="shared" si="50"/>
        <v>4858.75</v>
      </c>
      <c r="M100" s="46">
        <f t="shared" si="50"/>
        <v>3626.25</v>
      </c>
      <c r="N100" s="46">
        <f t="shared" si="50"/>
        <v>967.5</v>
      </c>
      <c r="O100" s="46">
        <f t="shared" si="50"/>
        <v>671.6666666666666</v>
      </c>
      <c r="P100" s="27">
        <f t="shared" si="17"/>
        <v>7.490798256304644</v>
      </c>
      <c r="Q100" s="323"/>
      <c r="R100" s="318"/>
    </row>
    <row r="101" spans="1:37" ht="15.75">
      <c r="A101" s="99" t="s">
        <v>45</v>
      </c>
      <c r="B101" s="207">
        <v>1639.1</v>
      </c>
      <c r="C101" s="372">
        <f t="shared" si="49"/>
        <v>2211.1000000000004</v>
      </c>
      <c r="D101" s="235">
        <f>660-659</f>
        <v>1</v>
      </c>
      <c r="E101" s="235">
        <f>1452-1407</f>
        <v>45</v>
      </c>
      <c r="F101" s="235">
        <v>221</v>
      </c>
      <c r="G101" s="235">
        <v>55</v>
      </c>
      <c r="H101" s="235">
        <v>260</v>
      </c>
      <c r="I101" s="235">
        <v>7</v>
      </c>
      <c r="J101" s="235">
        <v>145</v>
      </c>
      <c r="K101" s="235">
        <v>580.9</v>
      </c>
      <c r="L101" s="235">
        <v>250</v>
      </c>
      <c r="M101" s="235">
        <v>453.9</v>
      </c>
      <c r="N101" s="233">
        <v>95</v>
      </c>
      <c r="O101" s="233">
        <v>97.3</v>
      </c>
      <c r="P101" s="376">
        <f t="shared" si="17"/>
        <v>134.89719968275276</v>
      </c>
      <c r="Q101" s="323"/>
      <c r="R101" s="324"/>
      <c r="AK101" s="95"/>
    </row>
    <row r="102" spans="1:18" ht="15.75">
      <c r="A102" s="48" t="s">
        <v>131</v>
      </c>
      <c r="B102" s="50"/>
      <c r="C102" s="208">
        <f t="shared" si="49"/>
        <v>1627</v>
      </c>
      <c r="D102" s="35">
        <v>332.9</v>
      </c>
      <c r="E102" s="35"/>
      <c r="F102" s="35">
        <v>4</v>
      </c>
      <c r="G102" s="35">
        <v>253</v>
      </c>
      <c r="H102" s="35"/>
      <c r="I102" s="35">
        <v>1019.1</v>
      </c>
      <c r="J102" s="35">
        <v>18</v>
      </c>
      <c r="K102" s="35"/>
      <c r="L102" s="35"/>
      <c r="M102" s="35"/>
      <c r="N102" s="35"/>
      <c r="O102" s="35"/>
      <c r="P102" s="52"/>
      <c r="Q102" s="319"/>
      <c r="R102" s="324"/>
    </row>
    <row r="103" spans="1:18" ht="15.75">
      <c r="A103" s="54" t="s">
        <v>96</v>
      </c>
      <c r="B103" s="50"/>
      <c r="C103" s="51">
        <f t="shared" si="49"/>
        <v>1623</v>
      </c>
      <c r="D103" s="50">
        <f>D102</f>
        <v>332.9</v>
      </c>
      <c r="E103" s="50"/>
      <c r="F103" s="50"/>
      <c r="G103" s="50">
        <f>G102</f>
        <v>253</v>
      </c>
      <c r="H103" s="50"/>
      <c r="I103" s="50">
        <v>1019.1</v>
      </c>
      <c r="J103" s="50">
        <v>18</v>
      </c>
      <c r="K103" s="50"/>
      <c r="L103" s="50"/>
      <c r="M103" s="50"/>
      <c r="N103" s="50"/>
      <c r="O103" s="50"/>
      <c r="P103" s="52"/>
      <c r="Q103" s="323"/>
      <c r="R103" s="324"/>
    </row>
    <row r="104" spans="1:18" ht="15.75">
      <c r="A104" s="54" t="s">
        <v>97</v>
      </c>
      <c r="B104" s="50"/>
      <c r="C104" s="51">
        <f t="shared" si="49"/>
        <v>0</v>
      </c>
      <c r="D104" s="50">
        <f>D102-D103</f>
        <v>0</v>
      </c>
      <c r="E104" s="50"/>
      <c r="F104" s="50"/>
      <c r="G104" s="50">
        <f>G102-G103</f>
        <v>0</v>
      </c>
      <c r="H104" s="50"/>
      <c r="I104" s="50">
        <f>I102-I103</f>
        <v>0</v>
      </c>
      <c r="J104" s="50">
        <f>J102-J103</f>
        <v>0</v>
      </c>
      <c r="K104" s="50"/>
      <c r="L104" s="50"/>
      <c r="M104" s="50"/>
      <c r="N104" s="50"/>
      <c r="O104" s="50"/>
      <c r="P104" s="52"/>
      <c r="Q104" s="319"/>
      <c r="R104" s="324"/>
    </row>
    <row r="105" spans="1:18" ht="15.75">
      <c r="A105" s="49" t="s">
        <v>132</v>
      </c>
      <c r="B105" s="50"/>
      <c r="C105" s="51">
        <f t="shared" si="49"/>
        <v>1626.9</v>
      </c>
      <c r="D105" s="50">
        <v>332.9</v>
      </c>
      <c r="E105" s="50"/>
      <c r="F105" s="50">
        <v>4</v>
      </c>
      <c r="G105" s="50">
        <v>253</v>
      </c>
      <c r="H105" s="50"/>
      <c r="I105" s="50">
        <v>1019</v>
      </c>
      <c r="J105" s="50">
        <v>18</v>
      </c>
      <c r="K105" s="50"/>
      <c r="L105" s="50"/>
      <c r="M105" s="50"/>
      <c r="N105" s="50"/>
      <c r="O105" s="50"/>
      <c r="P105" s="52"/>
      <c r="Q105" s="323"/>
      <c r="R105" s="324"/>
    </row>
    <row r="106" spans="1:18" ht="15.75">
      <c r="A106" s="49" t="s">
        <v>84</v>
      </c>
      <c r="B106" s="50"/>
      <c r="C106" s="51">
        <f>(C107/C105*10)</f>
        <v>180.7042227549327</v>
      </c>
      <c r="D106" s="50">
        <v>183</v>
      </c>
      <c r="E106" s="50"/>
      <c r="F106" s="50">
        <v>85</v>
      </c>
      <c r="G106" s="50">
        <v>170</v>
      </c>
      <c r="H106" s="50"/>
      <c r="I106" s="50">
        <v>183</v>
      </c>
      <c r="J106" s="50">
        <v>180</v>
      </c>
      <c r="K106" s="50"/>
      <c r="L106" s="50"/>
      <c r="M106" s="50"/>
      <c r="N106" s="50"/>
      <c r="O106" s="50"/>
      <c r="P106" s="52"/>
      <c r="Q106" s="323"/>
      <c r="R106" s="325"/>
    </row>
    <row r="107" spans="1:18" ht="15.75">
      <c r="A107" s="49" t="s">
        <v>85</v>
      </c>
      <c r="B107" s="50"/>
      <c r="C107" s="51">
        <f aca="true" t="shared" si="51" ref="C107:C112">SUM(D107:O107)</f>
        <v>29398.77</v>
      </c>
      <c r="D107" s="50">
        <f>D106*D105/10</f>
        <v>6092.07</v>
      </c>
      <c r="E107" s="50">
        <f aca="true" t="shared" si="52" ref="E107:O107">E106*E105/10</f>
        <v>0</v>
      </c>
      <c r="F107" s="50">
        <f t="shared" si="52"/>
        <v>34</v>
      </c>
      <c r="G107" s="50">
        <f t="shared" si="52"/>
        <v>4301</v>
      </c>
      <c r="H107" s="50">
        <f t="shared" si="52"/>
        <v>0</v>
      </c>
      <c r="I107" s="50">
        <f t="shared" si="52"/>
        <v>18647.7</v>
      </c>
      <c r="J107" s="50">
        <f t="shared" si="52"/>
        <v>324</v>
      </c>
      <c r="K107" s="50">
        <f t="shared" si="52"/>
        <v>0</v>
      </c>
      <c r="L107" s="50">
        <f t="shared" si="52"/>
        <v>0</v>
      </c>
      <c r="M107" s="50">
        <f t="shared" si="52"/>
        <v>0</v>
      </c>
      <c r="N107" s="50">
        <f t="shared" si="52"/>
        <v>0</v>
      </c>
      <c r="O107" s="50">
        <f t="shared" si="52"/>
        <v>0</v>
      </c>
      <c r="P107" s="52"/>
      <c r="Q107" s="323"/>
      <c r="R107" s="325"/>
    </row>
    <row r="108" spans="1:18" ht="15.75">
      <c r="A108" s="49" t="s">
        <v>45</v>
      </c>
      <c r="B108" s="50"/>
      <c r="C108" s="51">
        <f t="shared" si="51"/>
        <v>0</v>
      </c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52"/>
      <c r="Q108" s="323"/>
      <c r="R108" s="325"/>
    </row>
    <row r="109" spans="1:18" ht="15.75">
      <c r="A109" s="210" t="s">
        <v>133</v>
      </c>
      <c r="B109" s="50"/>
      <c r="C109" s="208">
        <f t="shared" si="51"/>
        <v>14802</v>
      </c>
      <c r="D109" s="35"/>
      <c r="E109" s="35">
        <v>589</v>
      </c>
      <c r="F109" s="35">
        <v>1020</v>
      </c>
      <c r="G109" s="35">
        <v>30</v>
      </c>
      <c r="H109" s="35">
        <v>610</v>
      </c>
      <c r="I109" s="35">
        <v>3.5</v>
      </c>
      <c r="J109" s="35">
        <v>92</v>
      </c>
      <c r="K109" s="35">
        <v>3693.1</v>
      </c>
      <c r="L109" s="35">
        <v>2544</v>
      </c>
      <c r="M109" s="35">
        <v>4345.4</v>
      </c>
      <c r="N109" s="35">
        <v>1625</v>
      </c>
      <c r="O109" s="35">
        <v>250</v>
      </c>
      <c r="P109" s="52"/>
      <c r="Q109" s="319"/>
      <c r="R109" s="325"/>
    </row>
    <row r="110" spans="1:18" ht="15.75">
      <c r="A110" s="54" t="s">
        <v>96</v>
      </c>
      <c r="B110" s="50"/>
      <c r="C110" s="51">
        <f t="shared" si="51"/>
        <v>9124.4</v>
      </c>
      <c r="D110" s="50"/>
      <c r="E110" s="50">
        <v>206</v>
      </c>
      <c r="F110" s="50">
        <v>680</v>
      </c>
      <c r="G110" s="50">
        <v>30</v>
      </c>
      <c r="H110" s="50">
        <v>405</v>
      </c>
      <c r="I110" s="50">
        <v>3.5</v>
      </c>
      <c r="J110" s="50">
        <v>80</v>
      </c>
      <c r="K110" s="50">
        <v>3451.9</v>
      </c>
      <c r="L110" s="50">
        <v>2418</v>
      </c>
      <c r="M110" s="50">
        <v>350</v>
      </c>
      <c r="N110" s="50">
        <v>1250</v>
      </c>
      <c r="O110" s="50">
        <v>250</v>
      </c>
      <c r="P110" s="52"/>
      <c r="Q110" s="323"/>
      <c r="R110" s="325"/>
    </row>
    <row r="111" spans="1:18" ht="15.75">
      <c r="A111" s="54" t="s">
        <v>97</v>
      </c>
      <c r="B111" s="50"/>
      <c r="C111" s="51">
        <f t="shared" si="51"/>
        <v>5677.599999999999</v>
      </c>
      <c r="D111" s="50">
        <f aca="true" t="shared" si="53" ref="D111:O111">D109-D110</f>
        <v>0</v>
      </c>
      <c r="E111" s="50">
        <f t="shared" si="53"/>
        <v>383</v>
      </c>
      <c r="F111" s="50">
        <f t="shared" si="53"/>
        <v>340</v>
      </c>
      <c r="G111" s="50">
        <f t="shared" si="53"/>
        <v>0</v>
      </c>
      <c r="H111" s="50">
        <f t="shared" si="53"/>
        <v>205</v>
      </c>
      <c r="I111" s="50">
        <f t="shared" si="53"/>
        <v>0</v>
      </c>
      <c r="J111" s="50">
        <f t="shared" si="53"/>
        <v>12</v>
      </c>
      <c r="K111" s="50">
        <f t="shared" si="53"/>
        <v>241.19999999999982</v>
      </c>
      <c r="L111" s="50">
        <f t="shared" si="53"/>
        <v>126</v>
      </c>
      <c r="M111" s="50">
        <f t="shared" si="53"/>
        <v>3995.3999999999996</v>
      </c>
      <c r="N111" s="50">
        <f t="shared" si="53"/>
        <v>375</v>
      </c>
      <c r="O111" s="50">
        <f t="shared" si="53"/>
        <v>0</v>
      </c>
      <c r="P111" s="52"/>
      <c r="Q111" s="318"/>
      <c r="R111" s="325"/>
    </row>
    <row r="112" spans="1:18" ht="15.75">
      <c r="A112" s="49" t="s">
        <v>132</v>
      </c>
      <c r="B112" s="50"/>
      <c r="C112" s="51">
        <f t="shared" si="51"/>
        <v>7357.1</v>
      </c>
      <c r="D112" s="133"/>
      <c r="E112" s="133">
        <v>384.7</v>
      </c>
      <c r="F112" s="133">
        <v>338</v>
      </c>
      <c r="G112" s="133"/>
      <c r="H112" s="133">
        <v>270</v>
      </c>
      <c r="I112" s="133">
        <v>1.9</v>
      </c>
      <c r="J112" s="133">
        <v>67</v>
      </c>
      <c r="K112" s="133">
        <v>1229.5</v>
      </c>
      <c r="L112" s="133">
        <v>1877</v>
      </c>
      <c r="M112" s="133">
        <v>2680</v>
      </c>
      <c r="N112" s="133">
        <v>334</v>
      </c>
      <c r="O112" s="133">
        <v>175</v>
      </c>
      <c r="P112" s="52"/>
      <c r="Q112" s="318"/>
      <c r="R112" s="325"/>
    </row>
    <row r="113" spans="1:18" ht="15.75">
      <c r="A113" s="49" t="s">
        <v>84</v>
      </c>
      <c r="B113" s="50"/>
      <c r="C113" s="51">
        <f>(C114/C112*10)</f>
        <v>143.21414551929428</v>
      </c>
      <c r="D113" s="50"/>
      <c r="E113" s="50">
        <v>170.7</v>
      </c>
      <c r="F113" s="50">
        <v>147</v>
      </c>
      <c r="G113" s="50"/>
      <c r="H113" s="50">
        <v>190</v>
      </c>
      <c r="I113" s="50">
        <v>180</v>
      </c>
      <c r="J113" s="50">
        <v>145</v>
      </c>
      <c r="K113" s="50">
        <v>142</v>
      </c>
      <c r="L113" s="50">
        <v>122.5</v>
      </c>
      <c r="M113" s="50">
        <v>155</v>
      </c>
      <c r="N113" s="50">
        <v>112</v>
      </c>
      <c r="O113" s="50">
        <v>112</v>
      </c>
      <c r="P113" s="52"/>
      <c r="Q113" s="318"/>
      <c r="R113" s="325"/>
    </row>
    <row r="114" spans="1:18" ht="15.75">
      <c r="A114" s="49" t="s">
        <v>85</v>
      </c>
      <c r="B114" s="50"/>
      <c r="C114" s="51">
        <f aca="true" t="shared" si="54" ref="C114:C119">SUM(D114:O114)</f>
        <v>105364.07900000001</v>
      </c>
      <c r="D114" s="50"/>
      <c r="E114" s="50">
        <f>E113*E112/10</f>
        <v>6566.829</v>
      </c>
      <c r="F114" s="50">
        <f>F113*F112/10</f>
        <v>4968.6</v>
      </c>
      <c r="G114" s="50"/>
      <c r="H114" s="50">
        <f aca="true" t="shared" si="55" ref="H114:O114">H113*H112/10</f>
        <v>5130</v>
      </c>
      <c r="I114" s="50">
        <f t="shared" si="55"/>
        <v>34.2</v>
      </c>
      <c r="J114" s="50">
        <f t="shared" si="55"/>
        <v>971.5</v>
      </c>
      <c r="K114" s="50">
        <f t="shared" si="55"/>
        <v>17458.9</v>
      </c>
      <c r="L114" s="50">
        <f t="shared" si="55"/>
        <v>22993.25</v>
      </c>
      <c r="M114" s="50">
        <f t="shared" si="55"/>
        <v>41540</v>
      </c>
      <c r="N114" s="50">
        <f t="shared" si="55"/>
        <v>3740.8</v>
      </c>
      <c r="O114" s="50">
        <f t="shared" si="55"/>
        <v>1960</v>
      </c>
      <c r="P114" s="52"/>
      <c r="Q114" s="318"/>
      <c r="R114" s="325"/>
    </row>
    <row r="115" spans="1:18" ht="15.75">
      <c r="A115" s="49" t="s">
        <v>45</v>
      </c>
      <c r="B115" s="50"/>
      <c r="C115" s="51">
        <f t="shared" si="54"/>
        <v>0</v>
      </c>
      <c r="D115" s="50"/>
      <c r="E115" s="50"/>
      <c r="F115" s="50"/>
      <c r="G115" s="50"/>
      <c r="H115" s="50"/>
      <c r="I115" s="50"/>
      <c r="J115" s="50"/>
      <c r="K115" s="50"/>
      <c r="L115" s="233"/>
      <c r="M115" s="50"/>
      <c r="N115" s="50"/>
      <c r="O115" s="50"/>
      <c r="P115" s="52"/>
      <c r="Q115" s="318"/>
      <c r="R115" s="318"/>
    </row>
    <row r="116" spans="1:18" ht="15.75">
      <c r="A116" s="210" t="s">
        <v>134</v>
      </c>
      <c r="B116" s="50"/>
      <c r="C116" s="208">
        <f t="shared" si="54"/>
        <v>8587</v>
      </c>
      <c r="D116" s="35">
        <v>327</v>
      </c>
      <c r="E116" s="35">
        <v>420</v>
      </c>
      <c r="F116" s="35">
        <v>170</v>
      </c>
      <c r="G116" s="35">
        <v>510</v>
      </c>
      <c r="H116" s="35">
        <v>1017</v>
      </c>
      <c r="I116" s="35">
        <v>134</v>
      </c>
      <c r="J116" s="35">
        <v>620</v>
      </c>
      <c r="K116" s="35">
        <v>2824.5</v>
      </c>
      <c r="L116" s="35">
        <v>2332</v>
      </c>
      <c r="M116" s="35"/>
      <c r="N116" s="35">
        <v>120</v>
      </c>
      <c r="O116" s="35">
        <v>112.5</v>
      </c>
      <c r="P116" s="52"/>
      <c r="Q116" s="318"/>
      <c r="R116" s="318"/>
    </row>
    <row r="117" spans="1:18" ht="15.75">
      <c r="A117" s="54" t="s">
        <v>96</v>
      </c>
      <c r="B117" s="50"/>
      <c r="C117" s="51">
        <f t="shared" si="54"/>
        <v>7937.299999999999</v>
      </c>
      <c r="D117" s="50">
        <v>327</v>
      </c>
      <c r="E117" s="50">
        <v>375</v>
      </c>
      <c r="F117" s="50">
        <v>165</v>
      </c>
      <c r="G117" s="50">
        <v>510</v>
      </c>
      <c r="H117" s="50">
        <v>707</v>
      </c>
      <c r="I117" s="50">
        <v>134</v>
      </c>
      <c r="J117" s="50">
        <v>620</v>
      </c>
      <c r="K117" s="50">
        <v>2705.7</v>
      </c>
      <c r="L117" s="50">
        <v>2201.1</v>
      </c>
      <c r="M117" s="50">
        <f>M116</f>
        <v>0</v>
      </c>
      <c r="N117" s="50">
        <v>80</v>
      </c>
      <c r="O117" s="50">
        <v>112.5</v>
      </c>
      <c r="P117" s="52"/>
      <c r="Q117" s="318"/>
      <c r="R117" s="318"/>
    </row>
    <row r="118" spans="1:18" ht="15.75">
      <c r="A118" s="54" t="s">
        <v>97</v>
      </c>
      <c r="B118" s="50"/>
      <c r="C118" s="51">
        <f t="shared" si="54"/>
        <v>649.7000000000003</v>
      </c>
      <c r="D118" s="50">
        <f>D116-D117</f>
        <v>0</v>
      </c>
      <c r="E118" s="50">
        <f aca="true" t="shared" si="56" ref="E118:O118">E116-E117</f>
        <v>45</v>
      </c>
      <c r="F118" s="50">
        <f t="shared" si="56"/>
        <v>5</v>
      </c>
      <c r="G118" s="50">
        <f t="shared" si="56"/>
        <v>0</v>
      </c>
      <c r="H118" s="50">
        <f t="shared" si="56"/>
        <v>310</v>
      </c>
      <c r="I118" s="50">
        <f t="shared" si="56"/>
        <v>0</v>
      </c>
      <c r="J118" s="50">
        <f t="shared" si="56"/>
        <v>0</v>
      </c>
      <c r="K118" s="50">
        <f t="shared" si="56"/>
        <v>118.80000000000018</v>
      </c>
      <c r="L118" s="50">
        <f t="shared" si="56"/>
        <v>130.9000000000001</v>
      </c>
      <c r="M118" s="50">
        <f t="shared" si="56"/>
        <v>0</v>
      </c>
      <c r="N118" s="50">
        <f t="shared" si="56"/>
        <v>40</v>
      </c>
      <c r="O118" s="50">
        <f t="shared" si="56"/>
        <v>0</v>
      </c>
      <c r="P118" s="52"/>
      <c r="Q118" s="318"/>
      <c r="R118" s="318"/>
    </row>
    <row r="119" spans="1:18" ht="15.75">
      <c r="A119" s="49" t="s">
        <v>132</v>
      </c>
      <c r="B119" s="50"/>
      <c r="C119" s="51">
        <f t="shared" si="54"/>
        <v>4764.6</v>
      </c>
      <c r="D119" s="50">
        <v>234.9</v>
      </c>
      <c r="E119" s="50">
        <v>346.2</v>
      </c>
      <c r="F119" s="50">
        <v>135</v>
      </c>
      <c r="G119" s="50">
        <v>100.5</v>
      </c>
      <c r="H119" s="50">
        <v>400</v>
      </c>
      <c r="I119" s="50">
        <v>122</v>
      </c>
      <c r="J119" s="50">
        <v>580</v>
      </c>
      <c r="K119" s="50">
        <v>1000</v>
      </c>
      <c r="L119" s="50">
        <v>1700</v>
      </c>
      <c r="M119" s="50"/>
      <c r="N119" s="50">
        <v>80</v>
      </c>
      <c r="O119" s="50">
        <v>66</v>
      </c>
      <c r="P119" s="52"/>
      <c r="Q119" s="318"/>
      <c r="R119" s="318"/>
    </row>
    <row r="120" spans="1:18" ht="15.75">
      <c r="A120" s="49" t="s">
        <v>84</v>
      </c>
      <c r="B120" s="50"/>
      <c r="C120" s="51">
        <f>(C121/C119*10)</f>
        <v>150.8272887545649</v>
      </c>
      <c r="D120" s="50">
        <v>135</v>
      </c>
      <c r="E120" s="50">
        <v>130</v>
      </c>
      <c r="F120" s="50">
        <v>140</v>
      </c>
      <c r="G120" s="50">
        <v>120</v>
      </c>
      <c r="H120" s="50">
        <v>170</v>
      </c>
      <c r="I120" s="50">
        <v>106.1</v>
      </c>
      <c r="J120" s="50">
        <v>170</v>
      </c>
      <c r="K120" s="50">
        <v>130</v>
      </c>
      <c r="L120" s="50">
        <v>170</v>
      </c>
      <c r="M120" s="50"/>
      <c r="N120" s="50">
        <v>85</v>
      </c>
      <c r="O120" s="50">
        <v>85</v>
      </c>
      <c r="P120" s="52"/>
      <c r="Q120" s="318"/>
      <c r="R120" s="318"/>
    </row>
    <row r="121" spans="1:18" ht="15.75">
      <c r="A121" s="49" t="s">
        <v>85</v>
      </c>
      <c r="B121" s="50"/>
      <c r="C121" s="51">
        <f aca="true" t="shared" si="57" ref="C121:C126">SUM(D121:O121)</f>
        <v>71863.17</v>
      </c>
      <c r="D121" s="50">
        <f>D120*D119/10</f>
        <v>3171.15</v>
      </c>
      <c r="E121" s="50">
        <f aca="true" t="shared" si="58" ref="E121:O121">E120*E119/10</f>
        <v>4500.6</v>
      </c>
      <c r="F121" s="50">
        <f t="shared" si="58"/>
        <v>1890</v>
      </c>
      <c r="G121" s="50">
        <f t="shared" si="58"/>
        <v>1206</v>
      </c>
      <c r="H121" s="50">
        <f t="shared" si="58"/>
        <v>6800</v>
      </c>
      <c r="I121" s="50">
        <f t="shared" si="58"/>
        <v>1294.4199999999998</v>
      </c>
      <c r="J121" s="50">
        <f t="shared" si="58"/>
        <v>9860</v>
      </c>
      <c r="K121" s="50">
        <f t="shared" si="58"/>
        <v>13000</v>
      </c>
      <c r="L121" s="50">
        <f t="shared" si="58"/>
        <v>28900</v>
      </c>
      <c r="M121" s="50">
        <f t="shared" si="58"/>
        <v>0</v>
      </c>
      <c r="N121" s="50">
        <f t="shared" si="58"/>
        <v>680</v>
      </c>
      <c r="O121" s="50">
        <f t="shared" si="58"/>
        <v>561</v>
      </c>
      <c r="P121" s="52"/>
      <c r="Q121" s="318"/>
      <c r="R121" s="318"/>
    </row>
    <row r="122" spans="1:18" ht="15.75">
      <c r="A122" s="49" t="s">
        <v>45</v>
      </c>
      <c r="B122" s="50"/>
      <c r="C122" s="51">
        <f t="shared" si="57"/>
        <v>0</v>
      </c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2"/>
      <c r="Q122" s="318"/>
      <c r="R122" s="318"/>
    </row>
    <row r="123" spans="1:18" ht="15.75">
      <c r="A123" s="210" t="s">
        <v>135</v>
      </c>
      <c r="B123" s="50"/>
      <c r="C123" s="208">
        <f t="shared" si="57"/>
        <v>744.1999999999999</v>
      </c>
      <c r="D123" s="35"/>
      <c r="E123" s="35">
        <v>187</v>
      </c>
      <c r="F123" s="35"/>
      <c r="G123" s="35"/>
      <c r="H123" s="35">
        <v>1</v>
      </c>
      <c r="I123" s="35"/>
      <c r="J123" s="35"/>
      <c r="K123" s="35">
        <v>12.1</v>
      </c>
      <c r="L123" s="35">
        <v>102.3</v>
      </c>
      <c r="M123" s="35">
        <v>330.7</v>
      </c>
      <c r="N123" s="35">
        <v>37.6</v>
      </c>
      <c r="O123" s="35">
        <v>73.5</v>
      </c>
      <c r="P123" s="52"/>
      <c r="Q123" s="318"/>
      <c r="R123" s="318"/>
    </row>
    <row r="124" spans="1:18" ht="15.75">
      <c r="A124" s="54" t="s">
        <v>96</v>
      </c>
      <c r="B124" s="50"/>
      <c r="C124" s="51">
        <f t="shared" si="57"/>
        <v>744.1999999999999</v>
      </c>
      <c r="D124" s="50"/>
      <c r="E124" s="50">
        <v>187</v>
      </c>
      <c r="F124" s="50"/>
      <c r="G124" s="50"/>
      <c r="H124" s="50">
        <v>1</v>
      </c>
      <c r="I124" s="50"/>
      <c r="J124" s="50"/>
      <c r="K124" s="50">
        <v>12.1</v>
      </c>
      <c r="L124" s="50">
        <v>102.3</v>
      </c>
      <c r="M124" s="50">
        <v>330.7</v>
      </c>
      <c r="N124" s="50">
        <v>37.6</v>
      </c>
      <c r="O124" s="50">
        <v>73.5</v>
      </c>
      <c r="P124" s="52"/>
      <c r="Q124" s="318"/>
      <c r="R124" s="318"/>
    </row>
    <row r="125" spans="1:18" ht="15.75">
      <c r="A125" s="54" t="s">
        <v>97</v>
      </c>
      <c r="B125" s="50"/>
      <c r="C125" s="51">
        <f t="shared" si="57"/>
        <v>0</v>
      </c>
      <c r="D125" s="50"/>
      <c r="E125" s="50">
        <f>E123-E124</f>
        <v>0</v>
      </c>
      <c r="F125" s="50">
        <f aca="true" t="shared" si="59" ref="F125:O125">F123-F124</f>
        <v>0</v>
      </c>
      <c r="G125" s="50">
        <f t="shared" si="59"/>
        <v>0</v>
      </c>
      <c r="H125" s="50">
        <f t="shared" si="59"/>
        <v>0</v>
      </c>
      <c r="I125" s="50">
        <f t="shared" si="59"/>
        <v>0</v>
      </c>
      <c r="J125" s="50">
        <f t="shared" si="59"/>
        <v>0</v>
      </c>
      <c r="K125" s="50">
        <f t="shared" si="59"/>
        <v>0</v>
      </c>
      <c r="L125" s="50">
        <f t="shared" si="59"/>
        <v>0</v>
      </c>
      <c r="M125" s="50">
        <f t="shared" si="59"/>
        <v>0</v>
      </c>
      <c r="N125" s="50">
        <f t="shared" si="59"/>
        <v>0</v>
      </c>
      <c r="O125" s="50">
        <f t="shared" si="59"/>
        <v>0</v>
      </c>
      <c r="P125" s="52"/>
      <c r="Q125" s="318"/>
      <c r="R125" s="318"/>
    </row>
    <row r="126" spans="1:18" ht="15.75">
      <c r="A126" s="49" t="s">
        <v>132</v>
      </c>
      <c r="B126" s="50"/>
      <c r="C126" s="51">
        <f t="shared" si="57"/>
        <v>526.6</v>
      </c>
      <c r="D126" s="50"/>
      <c r="E126" s="50">
        <v>92.5</v>
      </c>
      <c r="F126" s="50"/>
      <c r="G126" s="50"/>
      <c r="H126" s="50"/>
      <c r="I126" s="50"/>
      <c r="J126" s="50"/>
      <c r="K126" s="50">
        <v>3.9</v>
      </c>
      <c r="L126" s="50">
        <v>54.8</v>
      </c>
      <c r="M126" s="50">
        <v>291.7</v>
      </c>
      <c r="N126" s="50">
        <v>22</v>
      </c>
      <c r="O126" s="50">
        <v>61.7</v>
      </c>
      <c r="P126" s="52"/>
      <c r="Q126" s="318"/>
      <c r="R126" s="318"/>
    </row>
    <row r="127" spans="1:18" ht="15.75">
      <c r="A127" s="49" t="s">
        <v>84</v>
      </c>
      <c r="B127" s="50"/>
      <c r="C127" s="51">
        <f>C128/C126*10</f>
        <v>57.05917204709457</v>
      </c>
      <c r="D127" s="50"/>
      <c r="E127" s="50">
        <v>40</v>
      </c>
      <c r="F127" s="50"/>
      <c r="G127" s="50"/>
      <c r="H127" s="50"/>
      <c r="I127" s="50"/>
      <c r="J127" s="50"/>
      <c r="K127" s="50">
        <v>60</v>
      </c>
      <c r="L127" s="50">
        <v>48.2</v>
      </c>
      <c r="M127" s="50">
        <v>60</v>
      </c>
      <c r="N127" s="50">
        <v>47</v>
      </c>
      <c r="O127" s="50">
        <v>80</v>
      </c>
      <c r="P127" s="52"/>
      <c r="Q127" s="318"/>
      <c r="R127" s="318"/>
    </row>
    <row r="128" spans="1:18" ht="15.75">
      <c r="A128" s="49" t="s">
        <v>85</v>
      </c>
      <c r="B128" s="50"/>
      <c r="C128" s="51">
        <f aca="true" t="shared" si="60" ref="C128:C133">SUM(D128:O128)</f>
        <v>3004.736</v>
      </c>
      <c r="D128" s="50">
        <f>D127*D126/10</f>
        <v>0</v>
      </c>
      <c r="E128" s="50">
        <f aca="true" t="shared" si="61" ref="E128:O128">E127*E126/10</f>
        <v>370</v>
      </c>
      <c r="F128" s="50">
        <f t="shared" si="61"/>
        <v>0</v>
      </c>
      <c r="G128" s="50">
        <f t="shared" si="61"/>
        <v>0</v>
      </c>
      <c r="H128" s="50">
        <f t="shared" si="61"/>
        <v>0</v>
      </c>
      <c r="I128" s="50">
        <f t="shared" si="61"/>
        <v>0</v>
      </c>
      <c r="J128" s="50">
        <f t="shared" si="61"/>
        <v>0</v>
      </c>
      <c r="K128" s="50">
        <f t="shared" si="61"/>
        <v>23.4</v>
      </c>
      <c r="L128" s="50">
        <f t="shared" si="61"/>
        <v>264.136</v>
      </c>
      <c r="M128" s="50">
        <f t="shared" si="61"/>
        <v>1750.2</v>
      </c>
      <c r="N128" s="50">
        <f t="shared" si="61"/>
        <v>103.4</v>
      </c>
      <c r="O128" s="50">
        <f t="shared" si="61"/>
        <v>493.6</v>
      </c>
      <c r="P128" s="52"/>
      <c r="Q128" s="318"/>
      <c r="R128" s="318"/>
    </row>
    <row r="129" spans="1:18" ht="15.75">
      <c r="A129" s="49" t="s">
        <v>45</v>
      </c>
      <c r="B129" s="50"/>
      <c r="C129" s="51">
        <f t="shared" si="60"/>
        <v>0</v>
      </c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52"/>
      <c r="Q129" s="318"/>
      <c r="R129" s="318"/>
    </row>
    <row r="130" spans="1:18" ht="15.75">
      <c r="A130" s="210" t="s">
        <v>137</v>
      </c>
      <c r="B130" s="50"/>
      <c r="C130" s="208">
        <f t="shared" si="60"/>
        <v>1493.7</v>
      </c>
      <c r="D130" s="35">
        <v>20.2</v>
      </c>
      <c r="E130" s="35">
        <v>45.6</v>
      </c>
      <c r="F130" s="35">
        <v>255</v>
      </c>
      <c r="G130" s="35">
        <v>90</v>
      </c>
      <c r="H130" s="35">
        <v>122.2</v>
      </c>
      <c r="I130" s="35">
        <v>77.2</v>
      </c>
      <c r="J130" s="35">
        <v>213.5</v>
      </c>
      <c r="K130" s="35">
        <v>321</v>
      </c>
      <c r="L130" s="35">
        <v>204.5</v>
      </c>
      <c r="M130" s="35">
        <v>17.2</v>
      </c>
      <c r="N130" s="35">
        <v>62</v>
      </c>
      <c r="O130" s="35">
        <v>65.3</v>
      </c>
      <c r="P130" s="52"/>
      <c r="Q130" s="318"/>
      <c r="R130" s="318"/>
    </row>
    <row r="131" spans="1:18" ht="15.75">
      <c r="A131" s="54" t="s">
        <v>96</v>
      </c>
      <c r="B131" s="50"/>
      <c r="C131" s="51">
        <f t="shared" si="60"/>
        <v>1011.2</v>
      </c>
      <c r="D131" s="50">
        <v>20.2</v>
      </c>
      <c r="E131" s="50">
        <v>45.6</v>
      </c>
      <c r="F131" s="50">
        <v>0</v>
      </c>
      <c r="G131" s="50">
        <f>G130</f>
        <v>90</v>
      </c>
      <c r="H131" s="50">
        <v>122.2</v>
      </c>
      <c r="I131" s="50">
        <v>77.2</v>
      </c>
      <c r="J131" s="50">
        <v>133</v>
      </c>
      <c r="K131" s="50">
        <f>K130-K132</f>
        <v>174</v>
      </c>
      <c r="L131" s="50">
        <f>L130-L132</f>
        <v>204.5</v>
      </c>
      <c r="M131" s="50">
        <f>M130-M132</f>
        <v>17.2</v>
      </c>
      <c r="N131" s="50">
        <v>62</v>
      </c>
      <c r="O131" s="50">
        <v>65.3</v>
      </c>
      <c r="P131" s="52"/>
      <c r="Q131" s="318"/>
      <c r="R131" s="318"/>
    </row>
    <row r="132" spans="1:18" ht="15.75">
      <c r="A132" s="54" t="s">
        <v>97</v>
      </c>
      <c r="B132" s="50"/>
      <c r="C132" s="51">
        <f t="shared" si="60"/>
        <v>482.5</v>
      </c>
      <c r="D132" s="50">
        <f>D130-D131</f>
        <v>0</v>
      </c>
      <c r="E132" s="50">
        <f aca="true" t="shared" si="62" ref="E132:J132">E130-E131</f>
        <v>0</v>
      </c>
      <c r="F132" s="50">
        <f t="shared" si="62"/>
        <v>255</v>
      </c>
      <c r="G132" s="50">
        <f t="shared" si="62"/>
        <v>0</v>
      </c>
      <c r="H132" s="50">
        <f t="shared" si="62"/>
        <v>0</v>
      </c>
      <c r="I132" s="50">
        <f t="shared" si="62"/>
        <v>0</v>
      </c>
      <c r="J132" s="50">
        <f t="shared" si="62"/>
        <v>80.5</v>
      </c>
      <c r="K132" s="50">
        <v>147</v>
      </c>
      <c r="L132" s="50"/>
      <c r="M132" s="50"/>
      <c r="N132" s="50">
        <f>N130-N131</f>
        <v>0</v>
      </c>
      <c r="O132" s="50">
        <f>O130-O131</f>
        <v>0</v>
      </c>
      <c r="P132" s="52"/>
      <c r="Q132" s="318"/>
      <c r="R132" s="318"/>
    </row>
    <row r="133" spans="1:18" ht="15.75">
      <c r="A133" s="49" t="s">
        <v>132</v>
      </c>
      <c r="B133" s="50"/>
      <c r="C133" s="51">
        <f t="shared" si="60"/>
        <v>1433.1</v>
      </c>
      <c r="D133" s="133">
        <v>19</v>
      </c>
      <c r="E133" s="133">
        <v>40</v>
      </c>
      <c r="F133" s="133">
        <v>219.1</v>
      </c>
      <c r="G133" s="133">
        <v>85</v>
      </c>
      <c r="H133" s="133">
        <v>120</v>
      </c>
      <c r="I133" s="133">
        <v>77</v>
      </c>
      <c r="J133" s="133">
        <v>212</v>
      </c>
      <c r="K133" s="133">
        <v>142</v>
      </c>
      <c r="L133" s="133">
        <v>383</v>
      </c>
      <c r="M133" s="133">
        <v>17</v>
      </c>
      <c r="N133" s="133">
        <v>62</v>
      </c>
      <c r="O133" s="133">
        <v>57</v>
      </c>
      <c r="P133" s="52"/>
      <c r="Q133" s="318"/>
      <c r="R133" s="318"/>
    </row>
    <row r="134" spans="1:18" ht="15.75">
      <c r="A134" s="49" t="s">
        <v>84</v>
      </c>
      <c r="B134" s="50"/>
      <c r="C134" s="51">
        <f>(C135/C133*10)</f>
        <v>311.36605959109625</v>
      </c>
      <c r="D134" s="50">
        <v>187</v>
      </c>
      <c r="E134" s="50">
        <v>300</v>
      </c>
      <c r="F134" s="50">
        <v>320</v>
      </c>
      <c r="G134" s="50">
        <v>291</v>
      </c>
      <c r="H134" s="50">
        <v>318</v>
      </c>
      <c r="I134" s="50">
        <v>315</v>
      </c>
      <c r="J134" s="50">
        <v>400</v>
      </c>
      <c r="K134" s="50">
        <v>300</v>
      </c>
      <c r="L134" s="50">
        <v>299.5</v>
      </c>
      <c r="M134" s="50">
        <v>258.2</v>
      </c>
      <c r="N134" s="50">
        <v>258</v>
      </c>
      <c r="O134" s="50">
        <v>191.4</v>
      </c>
      <c r="P134" s="52"/>
      <c r="Q134" s="318"/>
      <c r="R134" s="318"/>
    </row>
    <row r="135" spans="1:18" ht="15.75">
      <c r="A135" s="49" t="s">
        <v>85</v>
      </c>
      <c r="B135" s="50"/>
      <c r="C135" s="51">
        <f aca="true" t="shared" si="63" ref="C135:C147">SUM(D135:O135)</f>
        <v>44621.87</v>
      </c>
      <c r="D135" s="50">
        <f>D134*D133/10</f>
        <v>355.3</v>
      </c>
      <c r="E135" s="50">
        <f aca="true" t="shared" si="64" ref="E135:O135">E134*E133/10</f>
        <v>1200</v>
      </c>
      <c r="F135" s="50">
        <f t="shared" si="64"/>
        <v>7011.2</v>
      </c>
      <c r="G135" s="50">
        <f t="shared" si="64"/>
        <v>2473.5</v>
      </c>
      <c r="H135" s="50">
        <f t="shared" si="64"/>
        <v>3816</v>
      </c>
      <c r="I135" s="50">
        <f t="shared" si="64"/>
        <v>2425.5</v>
      </c>
      <c r="J135" s="50">
        <f t="shared" si="64"/>
        <v>8480</v>
      </c>
      <c r="K135" s="50">
        <f t="shared" si="64"/>
        <v>4260</v>
      </c>
      <c r="L135" s="50">
        <f t="shared" si="64"/>
        <v>11470.85</v>
      </c>
      <c r="M135" s="50">
        <f t="shared" si="64"/>
        <v>438.93999999999994</v>
      </c>
      <c r="N135" s="50">
        <f t="shared" si="64"/>
        <v>1599.6</v>
      </c>
      <c r="O135" s="50">
        <f t="shared" si="64"/>
        <v>1090.98</v>
      </c>
      <c r="P135" s="52"/>
      <c r="Q135" s="318"/>
      <c r="R135" s="318"/>
    </row>
    <row r="136" spans="1:18" ht="15.75">
      <c r="A136" s="49" t="s">
        <v>45</v>
      </c>
      <c r="B136" s="50"/>
      <c r="C136" s="51">
        <f>SUM(D136:O136)</f>
        <v>0</v>
      </c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2"/>
      <c r="Q136" s="318"/>
      <c r="R136" s="318"/>
    </row>
    <row r="137" spans="1:18" ht="15.75">
      <c r="A137" s="210" t="s">
        <v>235</v>
      </c>
      <c r="B137" s="50"/>
      <c r="C137" s="208">
        <f>SUM(D137:O137)</f>
        <v>704</v>
      </c>
      <c r="D137" s="35">
        <v>1</v>
      </c>
      <c r="E137" s="35">
        <v>6.9</v>
      </c>
      <c r="F137" s="35">
        <v>26</v>
      </c>
      <c r="G137" s="35"/>
      <c r="H137" s="35">
        <v>36</v>
      </c>
      <c r="I137" s="35">
        <v>1</v>
      </c>
      <c r="J137" s="35">
        <v>21.2</v>
      </c>
      <c r="K137" s="35">
        <v>41</v>
      </c>
      <c r="L137" s="35">
        <v>15.5</v>
      </c>
      <c r="M137" s="35">
        <v>53.4</v>
      </c>
      <c r="N137" s="35">
        <v>415</v>
      </c>
      <c r="O137" s="35">
        <v>87</v>
      </c>
      <c r="P137" s="52"/>
      <c r="Q137" s="318"/>
      <c r="R137" s="318"/>
    </row>
    <row r="138" spans="1:18" ht="15.75">
      <c r="A138" s="54" t="s">
        <v>96</v>
      </c>
      <c r="B138" s="50"/>
      <c r="C138" s="51">
        <f>SUM(D138:O138)</f>
        <v>697</v>
      </c>
      <c r="D138" s="50">
        <v>1</v>
      </c>
      <c r="E138" s="50">
        <v>6.9</v>
      </c>
      <c r="F138" s="50">
        <v>26</v>
      </c>
      <c r="G138" s="50"/>
      <c r="H138" s="50">
        <v>36</v>
      </c>
      <c r="I138" s="50">
        <v>1</v>
      </c>
      <c r="J138" s="50">
        <v>21.2</v>
      </c>
      <c r="K138" s="50">
        <v>41</v>
      </c>
      <c r="L138" s="50">
        <f>L137-L139</f>
        <v>15.5</v>
      </c>
      <c r="M138" s="50">
        <f>M137-M139</f>
        <v>53.4</v>
      </c>
      <c r="N138" s="50">
        <f>N137-N139</f>
        <v>410</v>
      </c>
      <c r="O138" s="50">
        <f>O137-O139</f>
        <v>85</v>
      </c>
      <c r="P138" s="52"/>
      <c r="Q138" s="318"/>
      <c r="R138" s="318"/>
    </row>
    <row r="139" spans="1:18" ht="15.75">
      <c r="A139" s="54" t="s">
        <v>97</v>
      </c>
      <c r="B139" s="50"/>
      <c r="C139" s="51">
        <f>SUM(D139:O139)</f>
        <v>7</v>
      </c>
      <c r="D139" s="50">
        <f>D137-D138</f>
        <v>0</v>
      </c>
      <c r="E139" s="50">
        <f>E137-E138</f>
        <v>0</v>
      </c>
      <c r="F139" s="50">
        <f>F137-F138</f>
        <v>0</v>
      </c>
      <c r="G139" s="50"/>
      <c r="H139" s="50">
        <f>H137-H138</f>
        <v>0</v>
      </c>
      <c r="I139" s="50">
        <f>I137-I138</f>
        <v>0</v>
      </c>
      <c r="J139" s="50">
        <f>J137-J138</f>
        <v>0</v>
      </c>
      <c r="K139" s="50">
        <f>K137-K138</f>
        <v>0</v>
      </c>
      <c r="L139" s="50"/>
      <c r="M139" s="50"/>
      <c r="N139" s="50">
        <v>5</v>
      </c>
      <c r="O139" s="50">
        <v>2</v>
      </c>
      <c r="P139" s="52"/>
      <c r="Q139" s="318"/>
      <c r="R139" s="318"/>
    </row>
    <row r="140" spans="1:18" ht="15.75">
      <c r="A140" s="49" t="s">
        <v>132</v>
      </c>
      <c r="B140" s="50"/>
      <c r="C140" s="51">
        <f>SUM(D140:O140)</f>
        <v>304.9</v>
      </c>
      <c r="D140" s="50">
        <v>1</v>
      </c>
      <c r="E140" s="50">
        <v>2</v>
      </c>
      <c r="F140" s="50">
        <v>8</v>
      </c>
      <c r="G140" s="50"/>
      <c r="H140" s="50">
        <v>32.5</v>
      </c>
      <c r="I140" s="50">
        <v>0.7</v>
      </c>
      <c r="J140" s="50">
        <v>15</v>
      </c>
      <c r="K140" s="50">
        <v>21</v>
      </c>
      <c r="L140" s="50">
        <v>6.7</v>
      </c>
      <c r="M140" s="50">
        <v>28</v>
      </c>
      <c r="N140" s="50">
        <v>135</v>
      </c>
      <c r="O140" s="50">
        <v>55</v>
      </c>
      <c r="P140" s="52"/>
      <c r="Q140" s="318"/>
      <c r="R140" s="318"/>
    </row>
    <row r="141" spans="1:18" ht="15.75">
      <c r="A141" s="49" t="s">
        <v>84</v>
      </c>
      <c r="B141" s="50"/>
      <c r="C141" s="51">
        <f>C142/C140*10</f>
        <v>139.75204985241064</v>
      </c>
      <c r="D141" s="50">
        <v>110</v>
      </c>
      <c r="E141" s="50">
        <v>128</v>
      </c>
      <c r="F141" s="50">
        <v>135</v>
      </c>
      <c r="G141" s="50"/>
      <c r="H141" s="50">
        <v>150</v>
      </c>
      <c r="I141" s="50">
        <v>107</v>
      </c>
      <c r="J141" s="50">
        <v>140</v>
      </c>
      <c r="K141" s="50">
        <v>140</v>
      </c>
      <c r="L141" s="50">
        <v>135</v>
      </c>
      <c r="M141" s="50">
        <v>165</v>
      </c>
      <c r="N141" s="50">
        <v>135</v>
      </c>
      <c r="O141" s="50">
        <v>135</v>
      </c>
      <c r="P141" s="52"/>
      <c r="Q141" s="318"/>
      <c r="R141" s="318"/>
    </row>
    <row r="142" spans="1:18" ht="15.75">
      <c r="A142" s="49" t="s">
        <v>85</v>
      </c>
      <c r="B142" s="50"/>
      <c r="C142" s="51">
        <f>SUM(D142:O142)</f>
        <v>4261.04</v>
      </c>
      <c r="D142" s="50">
        <f>D141*D140/10</f>
        <v>11</v>
      </c>
      <c r="E142" s="50">
        <f>E141*E140/10</f>
        <v>25.6</v>
      </c>
      <c r="F142" s="50">
        <f aca="true" t="shared" si="65" ref="F142:O142">F141*F140/10</f>
        <v>108</v>
      </c>
      <c r="G142" s="50">
        <f t="shared" si="65"/>
        <v>0</v>
      </c>
      <c r="H142" s="50">
        <f t="shared" si="65"/>
        <v>487.5</v>
      </c>
      <c r="I142" s="50">
        <f t="shared" si="65"/>
        <v>7.489999999999999</v>
      </c>
      <c r="J142" s="50">
        <f t="shared" si="65"/>
        <v>210</v>
      </c>
      <c r="K142" s="50">
        <f t="shared" si="65"/>
        <v>294</v>
      </c>
      <c r="L142" s="50">
        <f t="shared" si="65"/>
        <v>90.45</v>
      </c>
      <c r="M142" s="50">
        <f t="shared" si="65"/>
        <v>462</v>
      </c>
      <c r="N142" s="50">
        <f t="shared" si="65"/>
        <v>1822.5</v>
      </c>
      <c r="O142" s="50">
        <f t="shared" si="65"/>
        <v>742.5</v>
      </c>
      <c r="P142" s="52"/>
      <c r="Q142" s="318"/>
      <c r="R142" s="318"/>
    </row>
    <row r="143" spans="1:18" ht="15.75">
      <c r="A143" s="49" t="s">
        <v>45</v>
      </c>
      <c r="B143" s="50"/>
      <c r="C143" s="51">
        <f t="shared" si="63"/>
        <v>0</v>
      </c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2"/>
      <c r="Q143" s="318"/>
      <c r="R143" s="318"/>
    </row>
    <row r="144" spans="1:18" ht="15.75">
      <c r="A144" s="210" t="s">
        <v>136</v>
      </c>
      <c r="B144" s="50"/>
      <c r="C144" s="208">
        <f t="shared" si="63"/>
        <v>1455.8</v>
      </c>
      <c r="D144" s="35"/>
      <c r="E144" s="35">
        <v>77.5</v>
      </c>
      <c r="F144" s="35">
        <v>125</v>
      </c>
      <c r="G144" s="35">
        <v>56</v>
      </c>
      <c r="H144" s="35">
        <v>112.3</v>
      </c>
      <c r="I144" s="35">
        <v>9.1</v>
      </c>
      <c r="J144" s="35">
        <v>146.2</v>
      </c>
      <c r="K144" s="35">
        <v>305.5</v>
      </c>
      <c r="L144" s="35">
        <v>216.3</v>
      </c>
      <c r="M144" s="35">
        <v>148.1</v>
      </c>
      <c r="N144" s="35">
        <v>132.7</v>
      </c>
      <c r="O144" s="35">
        <v>127.1</v>
      </c>
      <c r="P144" s="52"/>
      <c r="Q144" s="318"/>
      <c r="R144" s="318"/>
    </row>
    <row r="145" spans="1:18" ht="15.75">
      <c r="A145" s="54" t="s">
        <v>96</v>
      </c>
      <c r="B145" s="50"/>
      <c r="C145" s="51">
        <f t="shared" si="63"/>
        <v>1452</v>
      </c>
      <c r="D145" s="50"/>
      <c r="E145" s="50">
        <v>77.5</v>
      </c>
      <c r="F145" s="50">
        <v>125</v>
      </c>
      <c r="G145" s="50">
        <v>56</v>
      </c>
      <c r="H145" s="50">
        <v>112.3</v>
      </c>
      <c r="I145" s="50">
        <v>9.1</v>
      </c>
      <c r="J145" s="50">
        <v>146.2</v>
      </c>
      <c r="K145" s="50">
        <v>305.5</v>
      </c>
      <c r="L145" s="50">
        <v>216.3</v>
      </c>
      <c r="M145" s="50">
        <v>148.1</v>
      </c>
      <c r="N145" s="50">
        <v>128.9</v>
      </c>
      <c r="O145" s="50">
        <v>127.1</v>
      </c>
      <c r="P145" s="52"/>
      <c r="Q145" s="318"/>
      <c r="R145" s="318"/>
    </row>
    <row r="146" spans="1:18" ht="15.75">
      <c r="A146" s="54" t="s">
        <v>97</v>
      </c>
      <c r="B146" s="50"/>
      <c r="C146" s="51">
        <f t="shared" si="63"/>
        <v>3.799999999999983</v>
      </c>
      <c r="D146" s="50"/>
      <c r="E146" s="50">
        <f>E144-E145</f>
        <v>0</v>
      </c>
      <c r="F146" s="50">
        <f aca="true" t="shared" si="66" ref="F146:O146">F144-F145</f>
        <v>0</v>
      </c>
      <c r="G146" s="50">
        <f t="shared" si="66"/>
        <v>0</v>
      </c>
      <c r="H146" s="50">
        <f t="shared" si="66"/>
        <v>0</v>
      </c>
      <c r="I146" s="50">
        <f t="shared" si="66"/>
        <v>0</v>
      </c>
      <c r="J146" s="50">
        <f t="shared" si="66"/>
        <v>0</v>
      </c>
      <c r="K146" s="50">
        <f t="shared" si="66"/>
        <v>0</v>
      </c>
      <c r="L146" s="50">
        <f t="shared" si="66"/>
        <v>0</v>
      </c>
      <c r="M146" s="50">
        <f t="shared" si="66"/>
        <v>0</v>
      </c>
      <c r="N146" s="50">
        <f t="shared" si="66"/>
        <v>3.799999999999983</v>
      </c>
      <c r="O146" s="50">
        <f t="shared" si="66"/>
        <v>0</v>
      </c>
      <c r="P146" s="52"/>
      <c r="Q146" s="318"/>
      <c r="R146" s="318"/>
    </row>
    <row r="147" spans="1:18" ht="15.75">
      <c r="A147" s="49" t="s">
        <v>132</v>
      </c>
      <c r="B147" s="50"/>
      <c r="C147" s="51">
        <f t="shared" si="63"/>
        <v>982</v>
      </c>
      <c r="D147" s="50"/>
      <c r="E147" s="50">
        <v>64</v>
      </c>
      <c r="F147" s="50">
        <v>92</v>
      </c>
      <c r="G147" s="50">
        <v>55</v>
      </c>
      <c r="H147" s="50">
        <v>92</v>
      </c>
      <c r="I147" s="50">
        <v>9</v>
      </c>
      <c r="J147" s="50">
        <v>125</v>
      </c>
      <c r="K147" s="50">
        <v>115</v>
      </c>
      <c r="L147" s="50">
        <v>160</v>
      </c>
      <c r="M147" s="50">
        <v>166</v>
      </c>
      <c r="N147" s="50">
        <v>65</v>
      </c>
      <c r="O147" s="50">
        <v>39</v>
      </c>
      <c r="P147" s="52"/>
      <c r="Q147" s="318"/>
      <c r="R147" s="318"/>
    </row>
    <row r="148" spans="1:18" ht="15.75">
      <c r="A148" s="49" t="s">
        <v>84</v>
      </c>
      <c r="B148" s="50"/>
      <c r="C148" s="51">
        <f>C149/C147*10</f>
        <v>225.17790224032586</v>
      </c>
      <c r="D148" s="50"/>
      <c r="E148" s="50">
        <v>285</v>
      </c>
      <c r="F148" s="50">
        <v>160</v>
      </c>
      <c r="G148" s="50">
        <v>110</v>
      </c>
      <c r="H148" s="50">
        <v>245</v>
      </c>
      <c r="I148" s="50">
        <v>240.3</v>
      </c>
      <c r="J148" s="50">
        <v>200</v>
      </c>
      <c r="K148" s="50">
        <v>245</v>
      </c>
      <c r="L148" s="50">
        <v>245</v>
      </c>
      <c r="M148" s="50">
        <v>265</v>
      </c>
      <c r="N148" s="50">
        <v>265</v>
      </c>
      <c r="O148" s="50">
        <v>98</v>
      </c>
      <c r="P148" s="52"/>
      <c r="Q148" s="318"/>
      <c r="R148" s="318"/>
    </row>
    <row r="149" spans="1:18" ht="15.75">
      <c r="A149" s="49" t="s">
        <v>85</v>
      </c>
      <c r="B149" s="50"/>
      <c r="C149" s="51">
        <f aca="true" t="shared" si="67" ref="C149:C154">SUM(D149:O149)</f>
        <v>22112.47</v>
      </c>
      <c r="D149" s="50">
        <f>D148*D147/10</f>
        <v>0</v>
      </c>
      <c r="E149" s="50">
        <f aca="true" t="shared" si="68" ref="E149:O149">E148*E147/10</f>
        <v>1824</v>
      </c>
      <c r="F149" s="50">
        <f t="shared" si="68"/>
        <v>1472</v>
      </c>
      <c r="G149" s="50">
        <f t="shared" si="68"/>
        <v>605</v>
      </c>
      <c r="H149" s="50">
        <f t="shared" si="68"/>
        <v>2254</v>
      </c>
      <c r="I149" s="50">
        <f t="shared" si="68"/>
        <v>216.27000000000004</v>
      </c>
      <c r="J149" s="50">
        <f t="shared" si="68"/>
        <v>2500</v>
      </c>
      <c r="K149" s="50">
        <f t="shared" si="68"/>
        <v>2817.5</v>
      </c>
      <c r="L149" s="50">
        <f t="shared" si="68"/>
        <v>3920</v>
      </c>
      <c r="M149" s="50">
        <f t="shared" si="68"/>
        <v>4399</v>
      </c>
      <c r="N149" s="50">
        <f t="shared" si="68"/>
        <v>1722.5</v>
      </c>
      <c r="O149" s="50">
        <f t="shared" si="68"/>
        <v>382.2</v>
      </c>
      <c r="P149" s="52"/>
      <c r="Q149" s="318"/>
      <c r="R149" s="318"/>
    </row>
    <row r="150" spans="1:18" ht="15.75">
      <c r="A150" s="49" t="s">
        <v>45</v>
      </c>
      <c r="B150" s="50"/>
      <c r="C150" s="51">
        <f t="shared" si="67"/>
        <v>0</v>
      </c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2"/>
      <c r="Q150" s="318"/>
      <c r="R150" s="318"/>
    </row>
    <row r="151" spans="1:18" ht="15.75">
      <c r="A151" s="210" t="s">
        <v>140</v>
      </c>
      <c r="B151" s="50"/>
      <c r="C151" s="208">
        <f t="shared" si="67"/>
        <v>590.9</v>
      </c>
      <c r="D151" s="35"/>
      <c r="E151" s="35"/>
      <c r="F151" s="35">
        <v>155.5</v>
      </c>
      <c r="G151" s="35"/>
      <c r="H151" s="35">
        <v>10</v>
      </c>
      <c r="I151" s="35"/>
      <c r="J151" s="35">
        <v>1.3</v>
      </c>
      <c r="K151" s="35">
        <v>1.8</v>
      </c>
      <c r="L151" s="35">
        <v>25.2</v>
      </c>
      <c r="M151" s="35">
        <v>199</v>
      </c>
      <c r="N151" s="35">
        <v>78.8</v>
      </c>
      <c r="O151" s="35">
        <v>119.3</v>
      </c>
      <c r="P151" s="52"/>
      <c r="Q151" s="318"/>
      <c r="R151" s="318"/>
    </row>
    <row r="152" spans="1:18" ht="15.75">
      <c r="A152" s="54" t="s">
        <v>96</v>
      </c>
      <c r="B152" s="50"/>
      <c r="C152" s="51">
        <f t="shared" si="67"/>
        <v>590.9</v>
      </c>
      <c r="D152" s="50"/>
      <c r="E152" s="50"/>
      <c r="F152" s="50">
        <f>F151</f>
        <v>155.5</v>
      </c>
      <c r="G152" s="50"/>
      <c r="H152" s="50">
        <v>10</v>
      </c>
      <c r="I152" s="50"/>
      <c r="J152" s="50">
        <f aca="true" t="shared" si="69" ref="J152:O152">J151</f>
        <v>1.3</v>
      </c>
      <c r="K152" s="50">
        <f t="shared" si="69"/>
        <v>1.8</v>
      </c>
      <c r="L152" s="50">
        <f t="shared" si="69"/>
        <v>25.2</v>
      </c>
      <c r="M152" s="50">
        <f t="shared" si="69"/>
        <v>199</v>
      </c>
      <c r="N152" s="50">
        <f t="shared" si="69"/>
        <v>78.8</v>
      </c>
      <c r="O152" s="50">
        <f t="shared" si="69"/>
        <v>119.3</v>
      </c>
      <c r="P152" s="52"/>
      <c r="Q152" s="318"/>
      <c r="R152" s="318"/>
    </row>
    <row r="153" spans="1:18" ht="15.75">
      <c r="A153" s="54" t="s">
        <v>97</v>
      </c>
      <c r="B153" s="50"/>
      <c r="C153" s="51">
        <f t="shared" si="67"/>
        <v>0</v>
      </c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2"/>
      <c r="Q153" s="318"/>
      <c r="R153" s="318"/>
    </row>
    <row r="154" spans="1:18" ht="15.75">
      <c r="A154" s="49" t="s">
        <v>132</v>
      </c>
      <c r="B154" s="50"/>
      <c r="C154" s="51">
        <f t="shared" si="67"/>
        <v>456.1</v>
      </c>
      <c r="D154" s="50"/>
      <c r="E154" s="50"/>
      <c r="F154" s="50">
        <v>61</v>
      </c>
      <c r="G154" s="50"/>
      <c r="H154" s="50">
        <v>5</v>
      </c>
      <c r="I154" s="50"/>
      <c r="J154" s="50">
        <v>1.3</v>
      </c>
      <c r="K154" s="50">
        <v>1.8</v>
      </c>
      <c r="L154" s="50">
        <v>23</v>
      </c>
      <c r="M154" s="50">
        <v>199</v>
      </c>
      <c r="N154" s="50">
        <v>46</v>
      </c>
      <c r="O154" s="50">
        <v>119</v>
      </c>
      <c r="P154" s="52"/>
      <c r="Q154" s="318"/>
      <c r="R154" s="318"/>
    </row>
    <row r="155" spans="1:18" ht="15.75">
      <c r="A155" s="49" t="s">
        <v>84</v>
      </c>
      <c r="B155" s="50"/>
      <c r="C155" s="51">
        <f>C156/C154*10</f>
        <v>137.11729883797412</v>
      </c>
      <c r="D155" s="50"/>
      <c r="E155" s="50"/>
      <c r="F155" s="50">
        <v>144</v>
      </c>
      <c r="G155" s="50"/>
      <c r="H155" s="50">
        <v>128</v>
      </c>
      <c r="I155" s="50"/>
      <c r="J155" s="50">
        <v>145</v>
      </c>
      <c r="K155" s="50">
        <v>136</v>
      </c>
      <c r="L155" s="50">
        <v>109.3</v>
      </c>
      <c r="M155" s="50">
        <v>142</v>
      </c>
      <c r="N155" s="50">
        <v>140</v>
      </c>
      <c r="O155" s="50">
        <v>130</v>
      </c>
      <c r="P155" s="52"/>
      <c r="Q155" s="318"/>
      <c r="R155" s="318"/>
    </row>
    <row r="156" spans="1:18" ht="15.75">
      <c r="A156" s="49" t="s">
        <v>85</v>
      </c>
      <c r="B156" s="50"/>
      <c r="C156" s="51">
        <f aca="true" t="shared" si="70" ref="C156:C161">SUM(D156:O156)</f>
        <v>6253.92</v>
      </c>
      <c r="D156" s="50">
        <f>D155*D154/10</f>
        <v>0</v>
      </c>
      <c r="E156" s="50">
        <f aca="true" t="shared" si="71" ref="E156:O156">E155*E154/10</f>
        <v>0</v>
      </c>
      <c r="F156" s="50">
        <f t="shared" si="71"/>
        <v>878.4</v>
      </c>
      <c r="G156" s="50">
        <f t="shared" si="71"/>
        <v>0</v>
      </c>
      <c r="H156" s="50">
        <f t="shared" si="71"/>
        <v>64</v>
      </c>
      <c r="I156" s="50">
        <f t="shared" si="71"/>
        <v>0</v>
      </c>
      <c r="J156" s="50">
        <f t="shared" si="71"/>
        <v>18.85</v>
      </c>
      <c r="K156" s="50">
        <f t="shared" si="71"/>
        <v>24.48</v>
      </c>
      <c r="L156" s="50">
        <f t="shared" si="71"/>
        <v>251.39000000000001</v>
      </c>
      <c r="M156" s="50">
        <f t="shared" si="71"/>
        <v>2825.8</v>
      </c>
      <c r="N156" s="50">
        <f t="shared" si="71"/>
        <v>644</v>
      </c>
      <c r="O156" s="50">
        <f t="shared" si="71"/>
        <v>1547</v>
      </c>
      <c r="P156" s="52"/>
      <c r="Q156" s="318"/>
      <c r="R156" s="318"/>
    </row>
    <row r="157" spans="1:18" ht="15.75">
      <c r="A157" s="49" t="s">
        <v>45</v>
      </c>
      <c r="B157" s="50"/>
      <c r="C157" s="51">
        <f t="shared" si="70"/>
        <v>0</v>
      </c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2"/>
      <c r="Q157" s="318"/>
      <c r="R157" s="318"/>
    </row>
    <row r="158" spans="1:18" ht="15.75">
      <c r="A158" s="210" t="s">
        <v>138</v>
      </c>
      <c r="B158" s="50"/>
      <c r="C158" s="208">
        <f t="shared" si="70"/>
        <v>237.1</v>
      </c>
      <c r="D158" s="35"/>
      <c r="E158" s="35">
        <v>1</v>
      </c>
      <c r="F158" s="35">
        <v>45</v>
      </c>
      <c r="G158" s="35"/>
      <c r="H158" s="35">
        <v>1</v>
      </c>
      <c r="I158" s="35">
        <v>74.5</v>
      </c>
      <c r="J158" s="35">
        <v>5.8</v>
      </c>
      <c r="K158" s="35">
        <v>5.7</v>
      </c>
      <c r="L158" s="35">
        <v>89.6</v>
      </c>
      <c r="M158" s="35"/>
      <c r="N158" s="35">
        <v>4.9</v>
      </c>
      <c r="O158" s="35">
        <v>9.6</v>
      </c>
      <c r="P158" s="52"/>
      <c r="Q158" s="318"/>
      <c r="R158" s="318"/>
    </row>
    <row r="159" spans="1:18" ht="15.75">
      <c r="A159" s="54" t="s">
        <v>96</v>
      </c>
      <c r="B159" s="50"/>
      <c r="C159" s="51">
        <f t="shared" si="70"/>
        <v>167.1</v>
      </c>
      <c r="D159" s="50"/>
      <c r="E159" s="50">
        <f>E158</f>
        <v>1</v>
      </c>
      <c r="F159" s="50">
        <v>15</v>
      </c>
      <c r="G159" s="50"/>
      <c r="H159" s="50">
        <f>H158</f>
        <v>1</v>
      </c>
      <c r="I159" s="50">
        <f>I158</f>
        <v>74.5</v>
      </c>
      <c r="J159" s="50">
        <f>J158</f>
        <v>5.8</v>
      </c>
      <c r="K159" s="50">
        <f>K158</f>
        <v>5.7</v>
      </c>
      <c r="L159" s="50">
        <f>L158-L160</f>
        <v>49.599999999999994</v>
      </c>
      <c r="M159" s="50"/>
      <c r="N159" s="50">
        <f>N158</f>
        <v>4.9</v>
      </c>
      <c r="O159" s="50">
        <f>O158</f>
        <v>9.6</v>
      </c>
      <c r="P159" s="52"/>
      <c r="Q159" s="318"/>
      <c r="R159" s="318"/>
    </row>
    <row r="160" spans="1:18" ht="15.75">
      <c r="A160" s="54" t="s">
        <v>97</v>
      </c>
      <c r="B160" s="50"/>
      <c r="C160" s="51">
        <f t="shared" si="70"/>
        <v>70</v>
      </c>
      <c r="D160" s="50"/>
      <c r="E160" s="50"/>
      <c r="F160" s="50">
        <f>F158-F159</f>
        <v>30</v>
      </c>
      <c r="G160" s="50"/>
      <c r="H160" s="50"/>
      <c r="I160" s="50"/>
      <c r="J160" s="50"/>
      <c r="K160" s="50"/>
      <c r="L160" s="50">
        <v>40</v>
      </c>
      <c r="M160" s="50"/>
      <c r="N160" s="50"/>
      <c r="O160" s="50"/>
      <c r="P160" s="52"/>
      <c r="Q160" s="318"/>
      <c r="R160" s="318"/>
    </row>
    <row r="161" spans="1:18" ht="15.75">
      <c r="A161" s="49" t="s">
        <v>132</v>
      </c>
      <c r="B161" s="50"/>
      <c r="C161" s="51">
        <f t="shared" si="70"/>
        <v>236</v>
      </c>
      <c r="D161" s="50"/>
      <c r="E161" s="50">
        <v>1</v>
      </c>
      <c r="F161" s="50">
        <v>45</v>
      </c>
      <c r="G161" s="50"/>
      <c r="H161" s="50">
        <v>1</v>
      </c>
      <c r="I161" s="50">
        <v>74</v>
      </c>
      <c r="J161" s="50">
        <v>5.8</v>
      </c>
      <c r="K161" s="50">
        <v>5.7</v>
      </c>
      <c r="L161" s="50">
        <v>89</v>
      </c>
      <c r="M161" s="50"/>
      <c r="N161" s="50">
        <v>4.9</v>
      </c>
      <c r="O161" s="50">
        <v>9.6</v>
      </c>
      <c r="P161" s="52"/>
      <c r="Q161" s="318"/>
      <c r="R161" s="318"/>
    </row>
    <row r="162" spans="1:18" ht="15.75">
      <c r="A162" s="49" t="s">
        <v>84</v>
      </c>
      <c r="B162" s="50"/>
      <c r="C162" s="51">
        <f>C163/C161*10</f>
        <v>202.5063559322034</v>
      </c>
      <c r="D162" s="50"/>
      <c r="E162" s="50">
        <v>185</v>
      </c>
      <c r="F162" s="50">
        <v>190</v>
      </c>
      <c r="G162" s="50"/>
      <c r="H162" s="50">
        <v>150</v>
      </c>
      <c r="I162" s="50">
        <v>195</v>
      </c>
      <c r="J162" s="50">
        <v>220</v>
      </c>
      <c r="K162" s="50">
        <v>199</v>
      </c>
      <c r="L162" s="50">
        <v>224.4</v>
      </c>
      <c r="M162" s="50"/>
      <c r="N162" s="50">
        <v>210</v>
      </c>
      <c r="O162" s="50">
        <v>111</v>
      </c>
      <c r="P162" s="52"/>
      <c r="Q162" s="318"/>
      <c r="R162" s="318"/>
    </row>
    <row r="163" spans="1:18" ht="15.75">
      <c r="A163" s="49" t="s">
        <v>85</v>
      </c>
      <c r="B163" s="50"/>
      <c r="C163" s="51">
        <f>SUM(D163:O163)</f>
        <v>4779.150000000001</v>
      </c>
      <c r="D163" s="50">
        <f>D162*D161/10</f>
        <v>0</v>
      </c>
      <c r="E163" s="50">
        <f aca="true" t="shared" si="72" ref="E163:O163">E162*E161/10</f>
        <v>18.5</v>
      </c>
      <c r="F163" s="50">
        <f t="shared" si="72"/>
        <v>855</v>
      </c>
      <c r="G163" s="50">
        <f t="shared" si="72"/>
        <v>0</v>
      </c>
      <c r="H163" s="50">
        <f t="shared" si="72"/>
        <v>15</v>
      </c>
      <c r="I163" s="50">
        <f t="shared" si="72"/>
        <v>1443</v>
      </c>
      <c r="J163" s="50">
        <f t="shared" si="72"/>
        <v>127.6</v>
      </c>
      <c r="K163" s="50">
        <f t="shared" si="72"/>
        <v>113.42999999999999</v>
      </c>
      <c r="L163" s="50">
        <f t="shared" si="72"/>
        <v>1997.1600000000003</v>
      </c>
      <c r="M163" s="50">
        <f t="shared" si="72"/>
        <v>0</v>
      </c>
      <c r="N163" s="50">
        <f t="shared" si="72"/>
        <v>102.9</v>
      </c>
      <c r="O163" s="50">
        <f t="shared" si="72"/>
        <v>106.55999999999999</v>
      </c>
      <c r="P163" s="52"/>
      <c r="Q163" s="318"/>
      <c r="R163" s="318"/>
    </row>
    <row r="164" spans="1:18" ht="15.75">
      <c r="A164" s="210" t="s">
        <v>207</v>
      </c>
      <c r="B164" s="50"/>
      <c r="C164" s="208">
        <f>SUM(D164:O164)</f>
        <v>117.2</v>
      </c>
      <c r="D164" s="35"/>
      <c r="E164" s="35"/>
      <c r="F164" s="35"/>
      <c r="G164" s="35"/>
      <c r="H164" s="35">
        <v>90</v>
      </c>
      <c r="I164" s="35"/>
      <c r="J164" s="35">
        <v>16.2</v>
      </c>
      <c r="K164" s="35">
        <v>2</v>
      </c>
      <c r="L164" s="35">
        <v>5</v>
      </c>
      <c r="M164" s="35"/>
      <c r="N164" s="35">
        <v>2</v>
      </c>
      <c r="O164" s="35">
        <v>2</v>
      </c>
      <c r="P164" s="52"/>
      <c r="Q164" s="318"/>
      <c r="R164" s="318"/>
    </row>
    <row r="165" spans="1:18" ht="15.75">
      <c r="A165" s="54" t="s">
        <v>96</v>
      </c>
      <c r="B165" s="50"/>
      <c r="C165" s="51">
        <f>SUM(D165:O165)</f>
        <v>108.2</v>
      </c>
      <c r="D165" s="50"/>
      <c r="E165" s="50"/>
      <c r="F165" s="50"/>
      <c r="G165" s="50"/>
      <c r="H165" s="50">
        <f>H164-H166</f>
        <v>81</v>
      </c>
      <c r="I165" s="50"/>
      <c r="J165" s="50">
        <f aca="true" t="shared" si="73" ref="J165:O165">J164-J166</f>
        <v>16.2</v>
      </c>
      <c r="K165" s="50">
        <f t="shared" si="73"/>
        <v>2</v>
      </c>
      <c r="L165" s="50">
        <f t="shared" si="73"/>
        <v>5</v>
      </c>
      <c r="M165" s="50">
        <f t="shared" si="73"/>
        <v>0</v>
      </c>
      <c r="N165" s="50">
        <f t="shared" si="73"/>
        <v>2</v>
      </c>
      <c r="O165" s="50">
        <f t="shared" si="73"/>
        <v>2</v>
      </c>
      <c r="P165" s="52"/>
      <c r="Q165" s="318"/>
      <c r="R165" s="318"/>
    </row>
    <row r="166" spans="1:18" ht="15.75">
      <c r="A166" s="54" t="s">
        <v>97</v>
      </c>
      <c r="B166" s="50"/>
      <c r="C166" s="51">
        <f>SUM(D166:O166)</f>
        <v>9</v>
      </c>
      <c r="D166" s="50"/>
      <c r="E166" s="50"/>
      <c r="F166" s="50"/>
      <c r="G166" s="50"/>
      <c r="H166" s="50">
        <v>9</v>
      </c>
      <c r="I166" s="50"/>
      <c r="J166" s="50"/>
      <c r="K166" s="50"/>
      <c r="L166" s="50"/>
      <c r="M166" s="50"/>
      <c r="N166" s="50"/>
      <c r="O166" s="50"/>
      <c r="P166" s="52"/>
      <c r="Q166" s="318"/>
      <c r="R166" s="318"/>
    </row>
    <row r="167" spans="1:18" ht="15.75">
      <c r="A167" s="49" t="s">
        <v>132</v>
      </c>
      <c r="B167" s="50"/>
      <c r="C167" s="51">
        <f>SUM(D167:O167)</f>
        <v>116.5</v>
      </c>
      <c r="D167" s="50"/>
      <c r="E167" s="50"/>
      <c r="F167" s="50"/>
      <c r="G167" s="50"/>
      <c r="H167" s="50">
        <v>90</v>
      </c>
      <c r="I167" s="50"/>
      <c r="J167" s="50">
        <v>16</v>
      </c>
      <c r="K167" s="50">
        <v>2</v>
      </c>
      <c r="L167" s="50">
        <v>5</v>
      </c>
      <c r="M167" s="50"/>
      <c r="N167" s="50">
        <v>1.5</v>
      </c>
      <c r="O167" s="50">
        <v>2</v>
      </c>
      <c r="P167" s="52"/>
      <c r="Q167" s="318"/>
      <c r="R167" s="318"/>
    </row>
    <row r="168" spans="1:18" ht="15.75">
      <c r="A168" s="49" t="s">
        <v>84</v>
      </c>
      <c r="B168" s="50"/>
      <c r="C168" s="51">
        <f>C169/C167*10</f>
        <v>212.30901287553647</v>
      </c>
      <c r="D168" s="50"/>
      <c r="E168" s="50"/>
      <c r="F168" s="50"/>
      <c r="G168" s="50"/>
      <c r="H168" s="50">
        <v>230</v>
      </c>
      <c r="I168" s="50"/>
      <c r="J168" s="50">
        <v>145</v>
      </c>
      <c r="K168" s="50">
        <v>143</v>
      </c>
      <c r="L168" s="50">
        <v>210</v>
      </c>
      <c r="M168" s="50"/>
      <c r="N168" s="50">
        <v>108</v>
      </c>
      <c r="O168" s="50">
        <v>108</v>
      </c>
      <c r="P168" s="52"/>
      <c r="Q168" s="318"/>
      <c r="R168" s="318"/>
    </row>
    <row r="169" spans="1:18" ht="15.75">
      <c r="A169" s="49" t="s">
        <v>85</v>
      </c>
      <c r="B169" s="50"/>
      <c r="C169" s="51">
        <f>SUM(D169:O169)</f>
        <v>2473.3999999999996</v>
      </c>
      <c r="D169" s="50"/>
      <c r="E169" s="50"/>
      <c r="F169" s="50"/>
      <c r="G169" s="50"/>
      <c r="H169" s="50">
        <f>H168*H167/10</f>
        <v>2070</v>
      </c>
      <c r="I169" s="50"/>
      <c r="J169" s="50">
        <f aca="true" t="shared" si="74" ref="J169:O169">J168*J167/10</f>
        <v>232</v>
      </c>
      <c r="K169" s="50">
        <f t="shared" si="74"/>
        <v>28.6</v>
      </c>
      <c r="L169" s="50">
        <f t="shared" si="74"/>
        <v>105</v>
      </c>
      <c r="M169" s="50">
        <f t="shared" si="74"/>
        <v>0</v>
      </c>
      <c r="N169" s="50">
        <f t="shared" si="74"/>
        <v>16.2</v>
      </c>
      <c r="O169" s="50">
        <f t="shared" si="74"/>
        <v>21.6</v>
      </c>
      <c r="P169" s="52"/>
      <c r="Q169" s="318"/>
      <c r="R169" s="318"/>
    </row>
    <row r="170" spans="1:18" ht="15.75">
      <c r="A170" s="210" t="s">
        <v>206</v>
      </c>
      <c r="B170" s="211"/>
      <c r="C170" s="208">
        <f>SUM(D170:O170)</f>
        <v>0.6</v>
      </c>
      <c r="D170" s="35"/>
      <c r="E170" s="35"/>
      <c r="F170" s="35"/>
      <c r="G170" s="35"/>
      <c r="H170" s="35"/>
      <c r="I170" s="35"/>
      <c r="J170" s="35">
        <v>0.6</v>
      </c>
      <c r="K170" s="35"/>
      <c r="L170" s="35"/>
      <c r="M170" s="35"/>
      <c r="N170" s="35"/>
      <c r="O170" s="35"/>
      <c r="P170" s="52"/>
      <c r="Q170" s="318"/>
      <c r="R170" s="318"/>
    </row>
    <row r="171" spans="1:18" ht="15.75">
      <c r="A171" s="54" t="s">
        <v>96</v>
      </c>
      <c r="B171" s="50"/>
      <c r="C171" s="51">
        <f>SUM(D171:O171)</f>
        <v>0.6</v>
      </c>
      <c r="D171" s="50"/>
      <c r="E171" s="50"/>
      <c r="F171" s="50"/>
      <c r="G171" s="50"/>
      <c r="H171" s="50"/>
      <c r="I171" s="50"/>
      <c r="J171" s="50">
        <f>J170</f>
        <v>0.6</v>
      </c>
      <c r="K171" s="50"/>
      <c r="L171" s="50">
        <f>L170</f>
        <v>0</v>
      </c>
      <c r="M171" s="50"/>
      <c r="N171" s="50"/>
      <c r="O171" s="50"/>
      <c r="P171" s="52"/>
      <c r="Q171" s="318"/>
      <c r="R171" s="318"/>
    </row>
    <row r="172" spans="1:18" ht="15.75">
      <c r="A172" s="54" t="s">
        <v>97</v>
      </c>
      <c r="B172" s="50"/>
      <c r="C172" s="51">
        <f>SUM(D172:O172)</f>
        <v>0</v>
      </c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2"/>
      <c r="Q172" s="318"/>
      <c r="R172" s="318"/>
    </row>
    <row r="173" spans="1:18" ht="15.75">
      <c r="A173" s="49" t="s">
        <v>132</v>
      </c>
      <c r="B173" s="50"/>
      <c r="C173" s="51">
        <f>SUM(D173:O173)</f>
        <v>0.6</v>
      </c>
      <c r="D173" s="50"/>
      <c r="E173" s="50"/>
      <c r="F173" s="50"/>
      <c r="G173" s="50"/>
      <c r="H173" s="50"/>
      <c r="I173" s="50"/>
      <c r="J173" s="50">
        <v>0.6</v>
      </c>
      <c r="K173" s="50"/>
      <c r="L173" s="50"/>
      <c r="M173" s="50"/>
      <c r="N173" s="50"/>
      <c r="O173" s="50"/>
      <c r="P173" s="52"/>
      <c r="Q173" s="318"/>
      <c r="R173" s="318"/>
    </row>
    <row r="174" spans="1:18" ht="15.75">
      <c r="A174" s="49" t="s">
        <v>84</v>
      </c>
      <c r="B174" s="50"/>
      <c r="C174" s="51">
        <f>C175/C173*10</f>
        <v>32</v>
      </c>
      <c r="D174" s="50"/>
      <c r="E174" s="50"/>
      <c r="F174" s="50"/>
      <c r="G174" s="50"/>
      <c r="H174" s="50"/>
      <c r="I174" s="50"/>
      <c r="J174" s="50">
        <v>32</v>
      </c>
      <c r="K174" s="50"/>
      <c r="L174" s="50"/>
      <c r="M174" s="50"/>
      <c r="N174" s="50"/>
      <c r="O174" s="50"/>
      <c r="P174" s="52"/>
      <c r="Q174" s="318"/>
      <c r="R174" s="318"/>
    </row>
    <row r="175" spans="1:18" ht="15.75">
      <c r="A175" s="49" t="s">
        <v>85</v>
      </c>
      <c r="B175" s="50"/>
      <c r="C175" s="51">
        <f>SUM(D175:O175)</f>
        <v>1.92</v>
      </c>
      <c r="D175" s="50"/>
      <c r="E175" s="50"/>
      <c r="F175" s="50"/>
      <c r="G175" s="50"/>
      <c r="H175" s="50"/>
      <c r="I175" s="50"/>
      <c r="J175" s="50">
        <f>J174*J173/10</f>
        <v>1.92</v>
      </c>
      <c r="K175" s="50"/>
      <c r="L175" s="50">
        <f>L174*L173/10</f>
        <v>0</v>
      </c>
      <c r="M175" s="50"/>
      <c r="N175" s="50"/>
      <c r="O175" s="50"/>
      <c r="P175" s="52"/>
      <c r="Q175" s="318"/>
      <c r="R175" s="318"/>
    </row>
    <row r="176" spans="1:18" ht="15.75">
      <c r="A176" s="210" t="s">
        <v>139</v>
      </c>
      <c r="B176" s="211"/>
      <c r="C176" s="208">
        <f>SUM(D176:O176)</f>
        <v>1693.500000000001</v>
      </c>
      <c r="D176" s="35">
        <f>D95-D102-D109-D116-D123-D130-D137-D144-D151-D158-D164-D170</f>
        <v>-21.099999999999977</v>
      </c>
      <c r="E176" s="35">
        <f aca="true" t="shared" si="75" ref="E176:O176">E95-E102-E109-E116-E123-E130-E137-E144-E151-E158-E164-E170</f>
        <v>125</v>
      </c>
      <c r="F176" s="35">
        <f t="shared" si="75"/>
        <v>91.5</v>
      </c>
      <c r="G176" s="35">
        <f t="shared" si="75"/>
        <v>326</v>
      </c>
      <c r="H176" s="35">
        <f t="shared" si="75"/>
        <v>-69.49999999999999</v>
      </c>
      <c r="I176" s="35">
        <f t="shared" si="75"/>
        <v>178.6</v>
      </c>
      <c r="J176" s="35">
        <f t="shared" si="75"/>
        <v>276.90000000000003</v>
      </c>
      <c r="K176" s="35">
        <f t="shared" si="75"/>
        <v>149.10000000000025</v>
      </c>
      <c r="L176" s="35">
        <v>114.5</v>
      </c>
      <c r="M176" s="35">
        <f t="shared" si="75"/>
        <v>333.30000000000064</v>
      </c>
      <c r="N176" s="35">
        <f t="shared" si="75"/>
        <v>-108.8000000000002</v>
      </c>
      <c r="O176" s="35">
        <f t="shared" si="75"/>
        <v>297.99999999999994</v>
      </c>
      <c r="P176" s="209"/>
      <c r="Q176" s="318"/>
      <c r="R176" s="318"/>
    </row>
    <row r="177" spans="1:18" ht="15.75">
      <c r="A177" s="54" t="s">
        <v>96</v>
      </c>
      <c r="B177" s="50"/>
      <c r="C177" s="51">
        <f>SUM(D177:O177)</f>
        <v>1956.8000000000002</v>
      </c>
      <c r="D177" s="50">
        <f>D96-D103-D110-D117-D124-D131-D145-D152-D159-D165-D171</f>
        <v>-20.099999999999977</v>
      </c>
      <c r="E177" s="50">
        <v>60.7</v>
      </c>
      <c r="F177" s="50">
        <v>439</v>
      </c>
      <c r="G177" s="50">
        <v>210</v>
      </c>
      <c r="H177" s="50">
        <f>H96-H103-H110-H117-H124-H131-H145-H152-H159-H165-H171</f>
        <v>52.40000000000009</v>
      </c>
      <c r="I177" s="50">
        <f>I96-I103-I110-I117-I124-I131-I145-I152-I159-I165-I171</f>
        <v>96.6</v>
      </c>
      <c r="J177" s="50">
        <f>J96-J103-J110-J117-J124-J131-J145-J152-J159-J165-J171</f>
        <v>185.60000000000005</v>
      </c>
      <c r="K177" s="50">
        <v>305</v>
      </c>
      <c r="L177" s="50">
        <v>114.5</v>
      </c>
      <c r="M177" s="50">
        <v>122.1</v>
      </c>
      <c r="N177" s="50">
        <v>295</v>
      </c>
      <c r="O177" s="50">
        <v>96</v>
      </c>
      <c r="P177" s="52"/>
      <c r="Q177" s="318"/>
      <c r="R177" s="318"/>
    </row>
    <row r="178" spans="1:18" ht="15.75">
      <c r="A178" s="54" t="s">
        <v>97</v>
      </c>
      <c r="B178" s="50"/>
      <c r="C178" s="51">
        <f>SUM(D178:O178)</f>
        <v>-263.29999999999944</v>
      </c>
      <c r="D178" s="50">
        <f aca="true" t="shared" si="76" ref="D178:O178">D176-D177</f>
        <v>-1</v>
      </c>
      <c r="E178" s="50">
        <f t="shared" si="76"/>
        <v>64.3</v>
      </c>
      <c r="F178" s="50">
        <f t="shared" si="76"/>
        <v>-347.5</v>
      </c>
      <c r="G178" s="50">
        <f t="shared" si="76"/>
        <v>116</v>
      </c>
      <c r="H178" s="50">
        <f t="shared" si="76"/>
        <v>-121.90000000000008</v>
      </c>
      <c r="I178" s="50">
        <f t="shared" si="76"/>
        <v>82</v>
      </c>
      <c r="J178" s="50">
        <f t="shared" si="76"/>
        <v>91.29999999999998</v>
      </c>
      <c r="K178" s="50">
        <f t="shared" si="76"/>
        <v>-155.89999999999975</v>
      </c>
      <c r="L178" s="50">
        <f t="shared" si="76"/>
        <v>0</v>
      </c>
      <c r="M178" s="50">
        <f t="shared" si="76"/>
        <v>211.20000000000064</v>
      </c>
      <c r="N178" s="50">
        <f t="shared" si="76"/>
        <v>-403.8000000000002</v>
      </c>
      <c r="O178" s="50">
        <f t="shared" si="76"/>
        <v>201.99999999999994</v>
      </c>
      <c r="P178" s="52"/>
      <c r="Q178" s="318"/>
      <c r="R178" s="318"/>
    </row>
    <row r="179" spans="1:18" ht="15.75">
      <c r="A179" s="49" t="s">
        <v>132</v>
      </c>
      <c r="B179" s="50"/>
      <c r="C179" s="51">
        <f>SUM(D179:O179)</f>
        <v>-152.89999999999986</v>
      </c>
      <c r="D179" s="50">
        <f>D98-D105-D112-D119-D126-D133-D140-D147-D154-D161-D167-D173</f>
        <v>-87.79999999999998</v>
      </c>
      <c r="E179" s="50">
        <f aca="true" t="shared" si="77" ref="E179:O179">E98-E105-E112-E119-E126-E133-E140-E147-E154-E161-E167-E173</f>
        <v>-130.39999999999998</v>
      </c>
      <c r="F179" s="50">
        <f t="shared" si="77"/>
        <v>-27.099999999999994</v>
      </c>
      <c r="G179" s="50">
        <f t="shared" si="77"/>
        <v>224.5</v>
      </c>
      <c r="H179" s="50">
        <f t="shared" si="77"/>
        <v>-135</v>
      </c>
      <c r="I179" s="50">
        <f t="shared" si="77"/>
        <v>143.40000000000003</v>
      </c>
      <c r="J179" s="50">
        <f t="shared" si="77"/>
        <v>77.30000000000001</v>
      </c>
      <c r="K179" s="50">
        <f t="shared" si="77"/>
        <v>529.1</v>
      </c>
      <c r="L179" s="50">
        <f t="shared" si="77"/>
        <v>-411.5</v>
      </c>
      <c r="M179" s="50">
        <f t="shared" si="77"/>
        <v>-480.7</v>
      </c>
      <c r="N179" s="50">
        <f t="shared" si="77"/>
        <v>109.6</v>
      </c>
      <c r="O179" s="50">
        <f t="shared" si="77"/>
        <v>35.70000000000001</v>
      </c>
      <c r="P179" s="52"/>
      <c r="Q179" s="318"/>
      <c r="R179" s="318"/>
    </row>
    <row r="180" spans="1:18" ht="15.75">
      <c r="A180" s="49" t="s">
        <v>84</v>
      </c>
      <c r="B180" s="50"/>
      <c r="C180" s="51">
        <f>C181/C179*10</f>
        <v>17717.93819489864</v>
      </c>
      <c r="D180" s="50">
        <f>D181/D179*10</f>
        <v>1035.063022019742</v>
      </c>
      <c r="E180" s="50">
        <f aca="true" t="shared" si="78" ref="E180:O180">E181/E179*10</f>
        <v>1035.7000766871167</v>
      </c>
      <c r="F180" s="50">
        <f t="shared" si="78"/>
        <v>6003.425584255845</v>
      </c>
      <c r="G180" s="50">
        <f t="shared" si="78"/>
        <v>-347.7802524127691</v>
      </c>
      <c r="H180" s="50">
        <f t="shared" si="78"/>
        <v>1442.1604938271605</v>
      </c>
      <c r="I180" s="50">
        <f t="shared" si="78"/>
        <v>-1560.6982798698277</v>
      </c>
      <c r="J180" s="50">
        <f t="shared" si="78"/>
        <v>-2530.168607158257</v>
      </c>
      <c r="K180" s="50">
        <f t="shared" si="78"/>
        <v>-646.5282555282556</v>
      </c>
      <c r="L180" s="50">
        <f t="shared" si="78"/>
        <v>1582.8307654921018</v>
      </c>
      <c r="M180" s="50">
        <f t="shared" si="78"/>
        <v>994.1687122945705</v>
      </c>
      <c r="N180" s="50">
        <f t="shared" si="78"/>
        <v>-863.5401459854015</v>
      </c>
      <c r="O180" s="50">
        <f t="shared" si="78"/>
        <v>-1746.1549953314657</v>
      </c>
      <c r="P180" s="52"/>
      <c r="Q180" s="318"/>
      <c r="R180" s="318"/>
    </row>
    <row r="181" spans="1:18" ht="15.75">
      <c r="A181" s="49" t="s">
        <v>85</v>
      </c>
      <c r="B181" s="50"/>
      <c r="C181" s="51">
        <f>SUM(D181:O181)</f>
        <v>-270907.27499999997</v>
      </c>
      <c r="D181" s="50">
        <f>D100-D107-D114-D121-D128-D135-D142-D149-D156-D163-D169-D175</f>
        <v>-9087.853333333333</v>
      </c>
      <c r="E181" s="50">
        <f aca="true" t="shared" si="79" ref="E181:O181">E100-E107-E114-E121-E128-E135-E142-E149-E156-E163-E169-E175</f>
        <v>-13505.529</v>
      </c>
      <c r="F181" s="50">
        <f t="shared" si="79"/>
        <v>-16269.283333333335</v>
      </c>
      <c r="G181" s="50">
        <f t="shared" si="79"/>
        <v>-7807.666666666666</v>
      </c>
      <c r="H181" s="50">
        <f t="shared" si="79"/>
        <v>-19469.166666666668</v>
      </c>
      <c r="I181" s="50">
        <f t="shared" si="79"/>
        <v>-22380.413333333334</v>
      </c>
      <c r="J181" s="50">
        <f t="shared" si="79"/>
        <v>-19558.20333333333</v>
      </c>
      <c r="K181" s="50">
        <f t="shared" si="79"/>
        <v>-34207.810000000005</v>
      </c>
      <c r="L181" s="50">
        <f t="shared" si="79"/>
        <v>-65133.486</v>
      </c>
      <c r="M181" s="50">
        <f t="shared" si="79"/>
        <v>-47789.69</v>
      </c>
      <c r="N181" s="50">
        <f t="shared" si="79"/>
        <v>-9464.4</v>
      </c>
      <c r="O181" s="50">
        <f t="shared" si="79"/>
        <v>-6233.773333333334</v>
      </c>
      <c r="P181" s="52"/>
      <c r="Q181" s="318"/>
      <c r="R181" s="318"/>
    </row>
    <row r="182" spans="1:18" ht="15.75">
      <c r="A182" s="49" t="s">
        <v>89</v>
      </c>
      <c r="B182" s="50"/>
      <c r="C182" s="51">
        <f>SUM(D182:O182)</f>
        <v>0</v>
      </c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2"/>
      <c r="Q182" s="318"/>
      <c r="R182" s="318"/>
    </row>
    <row r="183" spans="1:18" ht="15.75">
      <c r="A183" s="129" t="s">
        <v>129</v>
      </c>
      <c r="B183" s="23">
        <v>172.5</v>
      </c>
      <c r="C183" s="22">
        <f>SUM(D183:O183)</f>
        <v>172.5</v>
      </c>
      <c r="D183" s="132"/>
      <c r="E183" s="132"/>
      <c r="F183" s="132">
        <v>89</v>
      </c>
      <c r="G183" s="132"/>
      <c r="H183" s="132"/>
      <c r="I183" s="132">
        <v>5</v>
      </c>
      <c r="J183" s="132"/>
      <c r="K183" s="132">
        <v>1.4</v>
      </c>
      <c r="L183" s="132"/>
      <c r="M183" s="132">
        <v>49.400000000000006</v>
      </c>
      <c r="N183" s="132">
        <v>9.7</v>
      </c>
      <c r="O183" s="132">
        <v>18</v>
      </c>
      <c r="P183" s="24">
        <f aca="true" t="shared" si="80" ref="P183:P213">C183/B183*100</f>
        <v>100</v>
      </c>
      <c r="Q183" s="318" t="s">
        <v>302</v>
      </c>
      <c r="R183" s="320">
        <f>C183-V50</f>
        <v>0</v>
      </c>
    </row>
    <row r="184" spans="1:18" ht="15.75">
      <c r="A184" s="99" t="s">
        <v>87</v>
      </c>
      <c r="B184" s="207">
        <v>172.5</v>
      </c>
      <c r="C184" s="26">
        <f>SUM(D184:O184)</f>
        <v>172.5</v>
      </c>
      <c r="D184" s="133"/>
      <c r="E184" s="133"/>
      <c r="F184" s="191">
        <v>89</v>
      </c>
      <c r="G184" s="191"/>
      <c r="H184" s="191"/>
      <c r="I184" s="191">
        <v>5</v>
      </c>
      <c r="J184" s="191"/>
      <c r="K184" s="191">
        <v>1.4</v>
      </c>
      <c r="L184" s="191"/>
      <c r="M184" s="191">
        <v>49.4</v>
      </c>
      <c r="N184" s="191">
        <v>9.7</v>
      </c>
      <c r="O184" s="191">
        <v>18</v>
      </c>
      <c r="P184" s="98">
        <f t="shared" si="80"/>
        <v>100</v>
      </c>
      <c r="Q184" s="318"/>
      <c r="R184" s="318"/>
    </row>
    <row r="185" spans="1:18" ht="15.75">
      <c r="A185" s="99" t="s">
        <v>84</v>
      </c>
      <c r="B185" s="207">
        <v>9.2</v>
      </c>
      <c r="C185" s="26">
        <f>(C186/C184*10)*12</f>
        <v>8.663478260869564</v>
      </c>
      <c r="D185" s="50"/>
      <c r="E185" s="50"/>
      <c r="F185" s="46">
        <v>8</v>
      </c>
      <c r="G185" s="46"/>
      <c r="H185" s="46"/>
      <c r="I185" s="46">
        <v>3</v>
      </c>
      <c r="J185" s="46"/>
      <c r="K185" s="46">
        <v>7</v>
      </c>
      <c r="L185" s="46"/>
      <c r="M185" s="46">
        <v>9.5</v>
      </c>
      <c r="N185" s="46">
        <v>9.5</v>
      </c>
      <c r="O185" s="46">
        <v>10.9</v>
      </c>
      <c r="P185" s="98">
        <f t="shared" si="80"/>
        <v>94.16824196597354</v>
      </c>
      <c r="Q185" s="318"/>
      <c r="R185" s="318"/>
    </row>
    <row r="186" spans="1:18" ht="15.75">
      <c r="A186" s="99" t="s">
        <v>85</v>
      </c>
      <c r="B186" s="207">
        <v>158.5</v>
      </c>
      <c r="C186" s="26">
        <f>SUM(D186:O186)</f>
        <v>12.45375</v>
      </c>
      <c r="D186" s="30"/>
      <c r="E186" s="30"/>
      <c r="F186" s="30">
        <f>(F185*F184/10)/12</f>
        <v>5.933333333333334</v>
      </c>
      <c r="G186" s="30"/>
      <c r="H186" s="30"/>
      <c r="I186" s="30">
        <f>(I185*I184/10)/12</f>
        <v>0.125</v>
      </c>
      <c r="J186" s="30"/>
      <c r="K186" s="30">
        <f>(K185*K184/10)/12</f>
        <v>0.08166666666666665</v>
      </c>
      <c r="L186" s="30"/>
      <c r="M186" s="30">
        <f>(M185*M184/10)/12</f>
        <v>3.910833333333333</v>
      </c>
      <c r="N186" s="30">
        <f>(N185*N184/10)/12</f>
        <v>0.7679166666666667</v>
      </c>
      <c r="O186" s="30">
        <f>(O185*O184/10)/12</f>
        <v>1.635</v>
      </c>
      <c r="P186" s="98">
        <f t="shared" si="80"/>
        <v>7.857255520504731</v>
      </c>
      <c r="Q186" s="318"/>
      <c r="R186" s="318"/>
    </row>
    <row r="187" spans="1:18" ht="15.75">
      <c r="A187" s="99" t="s">
        <v>183</v>
      </c>
      <c r="B187" s="207"/>
      <c r="C187" s="26">
        <f>SUM(D187:O187)</f>
        <v>0</v>
      </c>
      <c r="D187" s="231"/>
      <c r="E187" s="231"/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98" t="e">
        <f t="shared" si="80"/>
        <v>#DIV/0!</v>
      </c>
      <c r="Q187" s="318"/>
      <c r="R187" s="318"/>
    </row>
    <row r="188" spans="1:18" ht="15.75">
      <c r="A188" s="22" t="s">
        <v>184</v>
      </c>
      <c r="B188" s="23">
        <v>313.8</v>
      </c>
      <c r="C188" s="22">
        <f>SUM(D188:O188)</f>
        <v>313.79999999999995</v>
      </c>
      <c r="D188" s="130"/>
      <c r="E188" s="130">
        <v>15</v>
      </c>
      <c r="F188" s="130">
        <v>29</v>
      </c>
      <c r="G188" s="130"/>
      <c r="H188" s="130">
        <v>10</v>
      </c>
      <c r="I188" s="130">
        <v>16</v>
      </c>
      <c r="J188" s="130">
        <v>11.2</v>
      </c>
      <c r="K188" s="130">
        <v>27.8</v>
      </c>
      <c r="L188" s="130"/>
      <c r="M188" s="130">
        <v>10.1</v>
      </c>
      <c r="N188" s="130">
        <v>179.7</v>
      </c>
      <c r="O188" s="130">
        <v>15</v>
      </c>
      <c r="P188" s="24">
        <f t="shared" si="80"/>
        <v>99.99999999999997</v>
      </c>
      <c r="Q188" s="318" t="s">
        <v>302</v>
      </c>
      <c r="R188" s="320">
        <f>C188-V55</f>
        <v>0</v>
      </c>
    </row>
    <row r="189" spans="1:18" ht="15.75">
      <c r="A189" s="99" t="s">
        <v>87</v>
      </c>
      <c r="B189" s="97"/>
      <c r="C189" s="97">
        <f>SUM(D189:O189)</f>
        <v>0</v>
      </c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98" t="e">
        <f t="shared" si="80"/>
        <v>#DIV/0!</v>
      </c>
      <c r="Q189" s="318"/>
      <c r="R189" s="318"/>
    </row>
    <row r="190" spans="1:18" ht="15.75">
      <c r="A190" s="99" t="s">
        <v>84</v>
      </c>
      <c r="B190" s="97"/>
      <c r="C190" s="97" t="e">
        <f>C191/C189*10</f>
        <v>#DIV/0!</v>
      </c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8" t="e">
        <f t="shared" si="80"/>
        <v>#DIV/0!</v>
      </c>
      <c r="Q190" s="318"/>
      <c r="R190" s="318"/>
    </row>
    <row r="191" spans="1:18" ht="15.75">
      <c r="A191" s="99" t="s">
        <v>85</v>
      </c>
      <c r="B191" s="97"/>
      <c r="C191" s="97">
        <f aca="true" t="shared" si="81" ref="C191:C196">SUM(D191:O191)</f>
        <v>0</v>
      </c>
      <c r="D191" s="97"/>
      <c r="E191" s="97"/>
      <c r="F191" s="97"/>
      <c r="G191" s="97"/>
      <c r="H191" s="97"/>
      <c r="I191" s="97"/>
      <c r="J191" s="97"/>
      <c r="K191" s="97"/>
      <c r="L191" s="97"/>
      <c r="M191" s="97">
        <f>M190*M189/10</f>
        <v>0</v>
      </c>
      <c r="N191" s="97"/>
      <c r="O191" s="97"/>
      <c r="P191" s="98" t="e">
        <f t="shared" si="80"/>
        <v>#DIV/0!</v>
      </c>
      <c r="Q191" s="318"/>
      <c r="R191" s="318"/>
    </row>
    <row r="192" spans="1:18" ht="15.75">
      <c r="A192" s="105" t="s">
        <v>45</v>
      </c>
      <c r="B192" s="207">
        <v>0</v>
      </c>
      <c r="C192" s="26">
        <f t="shared" si="81"/>
        <v>0</v>
      </c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98" t="e">
        <f t="shared" si="80"/>
        <v>#DIV/0!</v>
      </c>
      <c r="Q192" s="318"/>
      <c r="R192" s="318"/>
    </row>
    <row r="193" spans="1:18" ht="15.75">
      <c r="A193" s="53" t="s">
        <v>130</v>
      </c>
      <c r="B193" s="45">
        <v>9207</v>
      </c>
      <c r="C193" s="22">
        <f t="shared" si="81"/>
        <v>9207</v>
      </c>
      <c r="D193" s="30"/>
      <c r="E193" s="30"/>
      <c r="F193" s="228">
        <v>129</v>
      </c>
      <c r="G193" s="228"/>
      <c r="H193" s="228"/>
      <c r="I193" s="228"/>
      <c r="J193" s="228"/>
      <c r="K193" s="228"/>
      <c r="L193" s="228">
        <v>4475.7</v>
      </c>
      <c r="M193" s="228">
        <v>385</v>
      </c>
      <c r="N193" s="228">
        <v>3978.9</v>
      </c>
      <c r="O193" s="30">
        <v>238.4</v>
      </c>
      <c r="P193" s="24">
        <f t="shared" si="80"/>
        <v>100</v>
      </c>
      <c r="Q193" s="318" t="s">
        <v>302</v>
      </c>
      <c r="R193" s="320">
        <f>C193-V57</f>
        <v>131.8000000000011</v>
      </c>
    </row>
    <row r="194" spans="1:18" ht="15.75">
      <c r="A194" s="212" t="s">
        <v>90</v>
      </c>
      <c r="B194" s="207">
        <v>3645.5</v>
      </c>
      <c r="C194" s="26">
        <f t="shared" si="81"/>
        <v>3645.5</v>
      </c>
      <c r="D194" s="228"/>
      <c r="E194" s="228"/>
      <c r="F194" s="228">
        <f>F193-F195</f>
        <v>24</v>
      </c>
      <c r="G194" s="228"/>
      <c r="H194" s="228"/>
      <c r="I194" s="228"/>
      <c r="J194" s="228"/>
      <c r="K194" s="228"/>
      <c r="L194" s="228">
        <f>L193-L195</f>
        <v>1151</v>
      </c>
      <c r="M194" s="228">
        <f>M193-M195</f>
        <v>385</v>
      </c>
      <c r="N194" s="228">
        <f>N193-N195</f>
        <v>1926.1</v>
      </c>
      <c r="O194" s="228">
        <f>O193-O195</f>
        <v>159.4</v>
      </c>
      <c r="P194" s="98">
        <f t="shared" si="80"/>
        <v>100</v>
      </c>
      <c r="Q194" s="318"/>
      <c r="R194" s="318"/>
    </row>
    <row r="195" spans="1:18" ht="15.75">
      <c r="A195" s="99" t="s">
        <v>91</v>
      </c>
      <c r="B195" s="207">
        <v>5561.5</v>
      </c>
      <c r="C195" s="26">
        <f t="shared" si="81"/>
        <v>5561.5</v>
      </c>
      <c r="D195" s="203"/>
      <c r="E195" s="206"/>
      <c r="F195" s="206">
        <v>105</v>
      </c>
      <c r="G195" s="206"/>
      <c r="H195" s="206"/>
      <c r="I195" s="206"/>
      <c r="J195" s="203"/>
      <c r="K195" s="206"/>
      <c r="L195" s="206">
        <v>3324.7</v>
      </c>
      <c r="M195" s="206">
        <v>0</v>
      </c>
      <c r="N195" s="203">
        <v>2052.8</v>
      </c>
      <c r="O195" s="203">
        <v>79</v>
      </c>
      <c r="P195" s="98">
        <f t="shared" si="80"/>
        <v>100</v>
      </c>
      <c r="Q195" s="318"/>
      <c r="R195" s="318"/>
    </row>
    <row r="196" spans="1:18" ht="15.75">
      <c r="A196" s="99" t="s">
        <v>87</v>
      </c>
      <c r="B196" s="207">
        <v>4805.3</v>
      </c>
      <c r="C196" s="26">
        <f t="shared" si="81"/>
        <v>4774.3</v>
      </c>
      <c r="D196" s="108"/>
      <c r="E196" s="108"/>
      <c r="F196" s="108">
        <v>129</v>
      </c>
      <c r="G196" s="108"/>
      <c r="H196" s="108"/>
      <c r="I196" s="108"/>
      <c r="J196" s="108"/>
      <c r="K196" s="108"/>
      <c r="L196" s="206">
        <v>706.3</v>
      </c>
      <c r="M196" s="206">
        <v>385</v>
      </c>
      <c r="N196" s="108">
        <v>3450</v>
      </c>
      <c r="O196" s="108">
        <v>104</v>
      </c>
      <c r="P196" s="98">
        <f t="shared" si="80"/>
        <v>99.35487898778432</v>
      </c>
      <c r="Q196" s="318"/>
      <c r="R196" s="318"/>
    </row>
    <row r="197" spans="1:18" ht="15.75">
      <c r="A197" s="99" t="s">
        <v>84</v>
      </c>
      <c r="B197" s="207">
        <v>28</v>
      </c>
      <c r="C197" s="26">
        <f>(C198/C196*10)*12</f>
        <v>22.324424522966716</v>
      </c>
      <c r="D197" s="46"/>
      <c r="E197" s="46"/>
      <c r="F197" s="108">
        <v>13</v>
      </c>
      <c r="G197" s="222"/>
      <c r="H197" s="108"/>
      <c r="I197" s="108"/>
      <c r="J197" s="108"/>
      <c r="K197" s="108"/>
      <c r="L197" s="108">
        <v>25</v>
      </c>
      <c r="M197" s="108">
        <v>61</v>
      </c>
      <c r="N197" s="108">
        <v>18</v>
      </c>
      <c r="O197" s="46">
        <v>16</v>
      </c>
      <c r="P197" s="98">
        <f t="shared" si="80"/>
        <v>79.73008758202398</v>
      </c>
      <c r="Q197" s="318"/>
      <c r="R197" s="318"/>
    </row>
    <row r="198" spans="1:18" ht="15.75">
      <c r="A198" s="99" t="s">
        <v>85</v>
      </c>
      <c r="B198" s="207">
        <v>13435</v>
      </c>
      <c r="C198" s="26">
        <f aca="true" t="shared" si="82" ref="C198:C205">SUM(D198:O198)</f>
        <v>888.1958333333333</v>
      </c>
      <c r="D198" s="46"/>
      <c r="E198" s="46"/>
      <c r="F198" s="46">
        <f>(F197*F196/10)/12</f>
        <v>13.975</v>
      </c>
      <c r="G198" s="46"/>
      <c r="H198" s="46"/>
      <c r="I198" s="46"/>
      <c r="J198" s="46"/>
      <c r="K198" s="46"/>
      <c r="L198" s="46">
        <f>(L197*L196/10)/12</f>
        <v>147.14583333333334</v>
      </c>
      <c r="M198" s="46">
        <f>(M197*M196/10)/12</f>
        <v>195.70833333333334</v>
      </c>
      <c r="N198" s="46">
        <f>(N197*N196/10)/12</f>
        <v>517.5</v>
      </c>
      <c r="O198" s="46">
        <f>(O197*O196/10)/12</f>
        <v>13.866666666666667</v>
      </c>
      <c r="P198" s="98">
        <f t="shared" si="80"/>
        <v>6.611059421907951</v>
      </c>
      <c r="Q198" s="318"/>
      <c r="R198" s="318"/>
    </row>
    <row r="199" spans="1:18" ht="15.75">
      <c r="A199" s="99" t="s">
        <v>45</v>
      </c>
      <c r="B199" s="207"/>
      <c r="C199" s="26">
        <f t="shared" si="82"/>
        <v>0</v>
      </c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98" t="e">
        <f t="shared" si="80"/>
        <v>#DIV/0!</v>
      </c>
      <c r="Q199" s="318"/>
      <c r="R199" s="318"/>
    </row>
    <row r="200" spans="1:19" ht="15.75">
      <c r="A200" s="21" t="s">
        <v>92</v>
      </c>
      <c r="B200" s="23">
        <v>8571.4</v>
      </c>
      <c r="C200" s="22">
        <f t="shared" si="82"/>
        <v>7777.799999999999</v>
      </c>
      <c r="D200" s="239">
        <v>63</v>
      </c>
      <c r="E200" s="239">
        <v>67.5</v>
      </c>
      <c r="F200" s="239">
        <v>1177</v>
      </c>
      <c r="G200" s="239">
        <v>489</v>
      </c>
      <c r="H200" s="239">
        <v>2591.1</v>
      </c>
      <c r="I200" s="239">
        <v>63.9</v>
      </c>
      <c r="J200" s="239">
        <v>419.9</v>
      </c>
      <c r="K200" s="239">
        <v>1899.8</v>
      </c>
      <c r="L200" s="239">
        <v>990</v>
      </c>
      <c r="M200" s="239">
        <v>5.4</v>
      </c>
      <c r="N200" s="239">
        <v>10.2</v>
      </c>
      <c r="O200" s="239">
        <v>1</v>
      </c>
      <c r="P200" s="24">
        <f>C200/B200*100</f>
        <v>90.74130247100824</v>
      </c>
      <c r="Q200" s="318" t="s">
        <v>302</v>
      </c>
      <c r="R200" s="320">
        <f>C200-7383.9</f>
        <v>393.89999999999964</v>
      </c>
      <c r="S200" s="320">
        <f>7772.7-388.8</f>
        <v>7383.9</v>
      </c>
    </row>
    <row r="201" spans="1:18" ht="15.75">
      <c r="A201" s="105" t="s">
        <v>96</v>
      </c>
      <c r="B201" s="207"/>
      <c r="C201" s="26">
        <f t="shared" si="82"/>
        <v>7298.7</v>
      </c>
      <c r="D201" s="46">
        <f>D200-D202</f>
        <v>46</v>
      </c>
      <c r="E201" s="46">
        <f aca="true" t="shared" si="83" ref="E201:L201">E200-E202</f>
        <v>67.5</v>
      </c>
      <c r="F201" s="46">
        <f t="shared" si="83"/>
        <v>1124</v>
      </c>
      <c r="G201" s="46">
        <f t="shared" si="83"/>
        <v>489</v>
      </c>
      <c r="H201" s="46">
        <f t="shared" si="83"/>
        <v>2591.1</v>
      </c>
      <c r="I201" s="46">
        <f t="shared" si="83"/>
        <v>36.3</v>
      </c>
      <c r="J201" s="46">
        <f t="shared" si="83"/>
        <v>359.2</v>
      </c>
      <c r="K201" s="46">
        <f t="shared" si="83"/>
        <v>1848.3999999999999</v>
      </c>
      <c r="L201" s="46">
        <f t="shared" si="83"/>
        <v>720.6</v>
      </c>
      <c r="M201" s="46">
        <f>M200-M202</f>
        <v>5.4</v>
      </c>
      <c r="N201" s="46">
        <f>N200-N202</f>
        <v>10.2</v>
      </c>
      <c r="O201" s="46">
        <f>O200-O202</f>
        <v>1</v>
      </c>
      <c r="P201" s="27" t="e">
        <f t="shared" si="80"/>
        <v>#DIV/0!</v>
      </c>
      <c r="Q201" s="318"/>
      <c r="R201" s="318"/>
    </row>
    <row r="202" spans="1:18" ht="15.75">
      <c r="A202" s="33" t="s">
        <v>97</v>
      </c>
      <c r="B202" s="107"/>
      <c r="C202" s="97">
        <f t="shared" si="82"/>
        <v>479.1</v>
      </c>
      <c r="D202" s="46">
        <v>17</v>
      </c>
      <c r="E202" s="46"/>
      <c r="F202" s="46">
        <v>53</v>
      </c>
      <c r="G202" s="46"/>
      <c r="H202" s="46">
        <v>0</v>
      </c>
      <c r="I202" s="46">
        <v>27.6</v>
      </c>
      <c r="J202" s="46">
        <v>60.7</v>
      </c>
      <c r="K202" s="46">
        <f>51.4</f>
        <v>51.4</v>
      </c>
      <c r="L202" s="46">
        <v>269.4</v>
      </c>
      <c r="M202" s="46"/>
      <c r="N202" s="46"/>
      <c r="O202" s="46"/>
      <c r="P202" s="98" t="e">
        <f t="shared" si="80"/>
        <v>#DIV/0!</v>
      </c>
      <c r="Q202" s="318"/>
      <c r="R202" s="318"/>
    </row>
    <row r="203" spans="1:18" ht="15.75">
      <c r="A203" s="105" t="s">
        <v>204</v>
      </c>
      <c r="B203" s="207"/>
      <c r="C203" s="26">
        <f t="shared" si="82"/>
        <v>4903.7</v>
      </c>
      <c r="D203" s="46">
        <v>33</v>
      </c>
      <c r="E203" s="46">
        <v>46.5</v>
      </c>
      <c r="F203" s="46">
        <v>732.3</v>
      </c>
      <c r="G203" s="46">
        <v>489</v>
      </c>
      <c r="H203" s="46">
        <v>1100</v>
      </c>
      <c r="I203" s="46">
        <v>24.9</v>
      </c>
      <c r="J203" s="46">
        <v>341.5</v>
      </c>
      <c r="K203" s="46">
        <v>1423.3</v>
      </c>
      <c r="L203" s="46">
        <v>702</v>
      </c>
      <c r="M203" s="46"/>
      <c r="N203" s="46">
        <v>10.2</v>
      </c>
      <c r="O203" s="46">
        <v>1</v>
      </c>
      <c r="P203" s="27"/>
      <c r="Q203" s="321"/>
      <c r="R203" s="318"/>
    </row>
    <row r="204" spans="1:18" ht="15.75">
      <c r="A204" s="33" t="s">
        <v>205</v>
      </c>
      <c r="B204" s="107"/>
      <c r="C204" s="97">
        <f t="shared" si="82"/>
        <v>2874.1</v>
      </c>
      <c r="D204" s="46">
        <f>D200-D203</f>
        <v>30</v>
      </c>
      <c r="E204" s="46">
        <f aca="true" t="shared" si="84" ref="E204:L204">E200-E203</f>
        <v>21</v>
      </c>
      <c r="F204" s="46">
        <f t="shared" si="84"/>
        <v>444.70000000000005</v>
      </c>
      <c r="G204" s="46">
        <f t="shared" si="84"/>
        <v>0</v>
      </c>
      <c r="H204" s="46">
        <f t="shared" si="84"/>
        <v>1491.1</v>
      </c>
      <c r="I204" s="46">
        <f t="shared" si="84"/>
        <v>39</v>
      </c>
      <c r="J204" s="46">
        <f t="shared" si="84"/>
        <v>78.39999999999998</v>
      </c>
      <c r="K204" s="46">
        <f t="shared" si="84"/>
        <v>476.5</v>
      </c>
      <c r="L204" s="46">
        <f t="shared" si="84"/>
        <v>288</v>
      </c>
      <c r="M204" s="46">
        <f>M200-M203</f>
        <v>5.4</v>
      </c>
      <c r="N204" s="46">
        <f>N200-N203</f>
        <v>0</v>
      </c>
      <c r="O204" s="46">
        <f>O200-O203</f>
        <v>0</v>
      </c>
      <c r="P204" s="98"/>
      <c r="Q204" s="321"/>
      <c r="R204" s="318"/>
    </row>
    <row r="205" spans="1:18" ht="15.75">
      <c r="A205" s="99" t="s">
        <v>87</v>
      </c>
      <c r="B205" s="207">
        <v>2281.4</v>
      </c>
      <c r="C205" s="26">
        <f t="shared" si="82"/>
        <v>2145</v>
      </c>
      <c r="D205" s="192">
        <v>48</v>
      </c>
      <c r="E205" s="192">
        <v>37.8</v>
      </c>
      <c r="F205" s="192">
        <v>487</v>
      </c>
      <c r="G205" s="46">
        <v>7</v>
      </c>
      <c r="H205" s="192">
        <v>400</v>
      </c>
      <c r="I205" s="192">
        <v>59</v>
      </c>
      <c r="J205" s="46">
        <v>268</v>
      </c>
      <c r="K205" s="46">
        <v>400</v>
      </c>
      <c r="L205" s="192">
        <v>428</v>
      </c>
      <c r="M205" s="368"/>
      <c r="N205" s="191">
        <v>10.2</v>
      </c>
      <c r="O205" s="368"/>
      <c r="P205" s="98">
        <f t="shared" si="80"/>
        <v>94.0212150433944</v>
      </c>
      <c r="Q205" s="318"/>
      <c r="R205" s="318"/>
    </row>
    <row r="206" spans="1:18" ht="15.75">
      <c r="A206" s="99" t="s">
        <v>84</v>
      </c>
      <c r="B206" s="207">
        <v>26.9</v>
      </c>
      <c r="C206" s="26">
        <f>(C207/C205*10)*12</f>
        <v>26.01958041958042</v>
      </c>
      <c r="D206" s="84">
        <v>12</v>
      </c>
      <c r="E206" s="84">
        <v>22</v>
      </c>
      <c r="F206" s="84">
        <v>15</v>
      </c>
      <c r="G206" s="46">
        <v>12</v>
      </c>
      <c r="H206" s="84">
        <v>23</v>
      </c>
      <c r="I206" s="84">
        <v>38.1</v>
      </c>
      <c r="J206" s="46">
        <v>55</v>
      </c>
      <c r="K206" s="46">
        <v>25</v>
      </c>
      <c r="L206" s="84">
        <v>25</v>
      </c>
      <c r="M206" s="46"/>
      <c r="N206" s="46">
        <v>12.5</v>
      </c>
      <c r="O206" s="46"/>
      <c r="P206" s="98">
        <f t="shared" si="80"/>
        <v>96.72706475680455</v>
      </c>
      <c r="Q206" s="318"/>
      <c r="R206" s="318"/>
    </row>
    <row r="207" spans="1:18" ht="15.75">
      <c r="A207" s="99" t="s">
        <v>85</v>
      </c>
      <c r="B207" s="207">
        <v>6144.4</v>
      </c>
      <c r="C207" s="26">
        <f>SUM(D207:O207)</f>
        <v>465.1</v>
      </c>
      <c r="D207" s="46">
        <f>(D206*D205/10)/12</f>
        <v>4.8</v>
      </c>
      <c r="E207" s="46">
        <f aca="true" t="shared" si="85" ref="E207:L207">(E206*E205/10)/12</f>
        <v>6.93</v>
      </c>
      <c r="F207" s="46">
        <f t="shared" si="85"/>
        <v>60.875</v>
      </c>
      <c r="G207" s="46">
        <f t="shared" si="85"/>
        <v>0.7000000000000001</v>
      </c>
      <c r="H207" s="46">
        <f t="shared" si="85"/>
        <v>76.66666666666667</v>
      </c>
      <c r="I207" s="46">
        <f t="shared" si="85"/>
        <v>18.7325</v>
      </c>
      <c r="J207" s="46">
        <f t="shared" si="85"/>
        <v>122.83333333333333</v>
      </c>
      <c r="K207" s="46">
        <f t="shared" si="85"/>
        <v>83.33333333333333</v>
      </c>
      <c r="L207" s="46">
        <f t="shared" si="85"/>
        <v>89.16666666666667</v>
      </c>
      <c r="M207" s="46"/>
      <c r="N207" s="46">
        <f>(N206*N205/10)/12</f>
        <v>1.0624999999999998</v>
      </c>
      <c r="O207" s="46"/>
      <c r="P207" s="98">
        <f t="shared" si="80"/>
        <v>7.56949417355641</v>
      </c>
      <c r="Q207" s="318"/>
      <c r="R207" s="318"/>
    </row>
    <row r="208" spans="1:18" ht="15.75">
      <c r="A208" s="99" t="s">
        <v>89</v>
      </c>
      <c r="B208" s="233">
        <v>793.6</v>
      </c>
      <c r="C208" s="372">
        <f>SUM(D208:O208)</f>
        <v>316</v>
      </c>
      <c r="D208" s="235"/>
      <c r="E208" s="235"/>
      <c r="F208" s="235"/>
      <c r="G208" s="416">
        <f>805-489</f>
        <v>316</v>
      </c>
      <c r="H208" s="235"/>
      <c r="I208" s="235"/>
      <c r="J208" s="235"/>
      <c r="K208" s="235"/>
      <c r="L208" s="235"/>
      <c r="M208" s="235"/>
      <c r="N208" s="235"/>
      <c r="O208" s="235"/>
      <c r="P208" s="376">
        <f t="shared" si="80"/>
        <v>39.818548387096776</v>
      </c>
      <c r="Q208" s="318"/>
      <c r="R208" s="318"/>
    </row>
    <row r="209" spans="1:18" ht="15.75">
      <c r="A209" s="21" t="s">
        <v>93</v>
      </c>
      <c r="B209" s="23">
        <v>790.5</v>
      </c>
      <c r="C209" s="22">
        <f>SUM(D209:O209)</f>
        <v>773.5</v>
      </c>
      <c r="D209" s="132"/>
      <c r="E209" s="132">
        <v>19</v>
      </c>
      <c r="F209" s="132">
        <v>36</v>
      </c>
      <c r="G209" s="132">
        <v>20</v>
      </c>
      <c r="H209" s="132">
        <v>229</v>
      </c>
      <c r="I209" s="132">
        <v>27</v>
      </c>
      <c r="J209" s="132">
        <v>250</v>
      </c>
      <c r="K209" s="132">
        <v>97.5</v>
      </c>
      <c r="L209" s="132">
        <v>95</v>
      </c>
      <c r="M209" s="132"/>
      <c r="N209" s="132"/>
      <c r="O209" s="132"/>
      <c r="P209" s="24">
        <f>C209/B209*100</f>
        <v>97.84946236559139</v>
      </c>
      <c r="Q209" s="318" t="s">
        <v>302</v>
      </c>
      <c r="R209" s="320">
        <f>C209-V69</f>
        <v>69.5</v>
      </c>
    </row>
    <row r="210" spans="1:18" ht="15.75">
      <c r="A210" s="99" t="s">
        <v>87</v>
      </c>
      <c r="B210" s="207">
        <v>763.5</v>
      </c>
      <c r="C210" s="26">
        <f>SUM(D210:O210)</f>
        <v>704</v>
      </c>
      <c r="D210" s="46"/>
      <c r="E210" s="46">
        <v>15</v>
      </c>
      <c r="F210" s="108">
        <v>31</v>
      </c>
      <c r="G210" s="46">
        <v>20</v>
      </c>
      <c r="H210" s="108">
        <v>229</v>
      </c>
      <c r="I210" s="46">
        <v>27</v>
      </c>
      <c r="J210" s="46">
        <v>200</v>
      </c>
      <c r="K210" s="46">
        <v>97</v>
      </c>
      <c r="L210" s="108">
        <v>85</v>
      </c>
      <c r="M210" s="108"/>
      <c r="N210" s="108"/>
      <c r="O210" s="108"/>
      <c r="P210" s="98">
        <f t="shared" si="80"/>
        <v>92.20694171578258</v>
      </c>
      <c r="Q210" s="318"/>
      <c r="R210" s="318"/>
    </row>
    <row r="211" spans="1:18" ht="15.75">
      <c r="A211" s="99" t="s">
        <v>84</v>
      </c>
      <c r="B211" s="207">
        <v>431.7</v>
      </c>
      <c r="C211" s="26">
        <f>(C212/C210*10)*12</f>
        <v>395.98579545454555</v>
      </c>
      <c r="D211" s="369"/>
      <c r="E211" s="369">
        <v>325</v>
      </c>
      <c r="F211" s="369">
        <v>325</v>
      </c>
      <c r="G211" s="369">
        <v>180</v>
      </c>
      <c r="H211" s="369">
        <v>400</v>
      </c>
      <c r="I211" s="369">
        <v>452</v>
      </c>
      <c r="J211" s="369">
        <v>500</v>
      </c>
      <c r="K211" s="369">
        <v>310</v>
      </c>
      <c r="L211" s="369">
        <v>310</v>
      </c>
      <c r="M211" s="369"/>
      <c r="N211" s="369"/>
      <c r="O211" s="369"/>
      <c r="P211" s="98">
        <f t="shared" si="80"/>
        <v>91.72707793711966</v>
      </c>
      <c r="Q211" s="318"/>
      <c r="R211" s="318"/>
    </row>
    <row r="212" spans="1:18" ht="15.75">
      <c r="A212" s="99" t="s">
        <v>85</v>
      </c>
      <c r="B212" s="207">
        <v>32960.5</v>
      </c>
      <c r="C212" s="26">
        <f>SUM(D212:O212)</f>
        <v>2323.1166666666672</v>
      </c>
      <c r="D212" s="30"/>
      <c r="E212" s="30">
        <f>(E211*E210/10)/12</f>
        <v>40.625</v>
      </c>
      <c r="F212" s="30">
        <f aca="true" t="shared" si="86" ref="F212:L212">(F211*F210/10)/12</f>
        <v>83.95833333333333</v>
      </c>
      <c r="G212" s="30">
        <f t="shared" si="86"/>
        <v>30</v>
      </c>
      <c r="H212" s="30">
        <f t="shared" si="86"/>
        <v>763.3333333333334</v>
      </c>
      <c r="I212" s="30">
        <f t="shared" si="86"/>
        <v>101.7</v>
      </c>
      <c r="J212" s="30">
        <f t="shared" si="86"/>
        <v>833.3333333333334</v>
      </c>
      <c r="K212" s="30">
        <f t="shared" si="86"/>
        <v>250.58333333333334</v>
      </c>
      <c r="L212" s="30">
        <f t="shared" si="86"/>
        <v>219.58333333333334</v>
      </c>
      <c r="M212" s="30"/>
      <c r="N212" s="30"/>
      <c r="O212" s="30"/>
      <c r="P212" s="98">
        <f t="shared" si="80"/>
        <v>7.04818393733914</v>
      </c>
      <c r="Q212" s="318"/>
      <c r="R212" s="318"/>
    </row>
    <row r="213" spans="1:18" ht="15.75">
      <c r="A213" s="213" t="s">
        <v>89</v>
      </c>
      <c r="B213" s="214">
        <v>27</v>
      </c>
      <c r="C213" s="31">
        <f>SUM(D213:O213)</f>
        <v>0</v>
      </c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32">
        <f t="shared" si="80"/>
        <v>0</v>
      </c>
      <c r="Q213" s="318"/>
      <c r="R213" s="318"/>
    </row>
    <row r="214" spans="1:17" ht="15.75">
      <c r="A214" s="118"/>
      <c r="B214" s="118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35"/>
      <c r="Q214" s="193"/>
    </row>
    <row r="215" spans="1:16" ht="15.75" hidden="1">
      <c r="A215" s="137" t="s">
        <v>231</v>
      </c>
      <c r="B215" s="147">
        <f>B22</f>
        <v>7072</v>
      </c>
      <c r="C215" s="138">
        <f aca="true" t="shared" si="87" ref="C215:C222">SUM(D215:O215)</f>
        <v>0</v>
      </c>
      <c r="D215" s="138">
        <f aca="true" t="shared" si="88" ref="D215:O215">D22</f>
        <v>0</v>
      </c>
      <c r="E215" s="138">
        <f t="shared" si="88"/>
        <v>0</v>
      </c>
      <c r="F215" s="138">
        <f t="shared" si="88"/>
        <v>0</v>
      </c>
      <c r="G215" s="138">
        <f t="shared" si="88"/>
        <v>0</v>
      </c>
      <c r="H215" s="138">
        <f t="shared" si="88"/>
        <v>0</v>
      </c>
      <c r="I215" s="138">
        <f t="shared" si="88"/>
        <v>0</v>
      </c>
      <c r="J215" s="138">
        <f t="shared" si="88"/>
        <v>0</v>
      </c>
      <c r="K215" s="138">
        <f t="shared" si="88"/>
        <v>0</v>
      </c>
      <c r="L215" s="138">
        <f t="shared" si="88"/>
        <v>0</v>
      </c>
      <c r="M215" s="138">
        <f t="shared" si="88"/>
        <v>0</v>
      </c>
      <c r="N215" s="138">
        <f t="shared" si="88"/>
        <v>0</v>
      </c>
      <c r="O215" s="138">
        <f t="shared" si="88"/>
        <v>0</v>
      </c>
      <c r="P215" s="148">
        <f>C215/B215*100</f>
        <v>0</v>
      </c>
    </row>
    <row r="216" spans="1:16" ht="15.75" hidden="1">
      <c r="A216" s="134" t="s">
        <v>211</v>
      </c>
      <c r="B216" s="141">
        <v>2808</v>
      </c>
      <c r="C216" s="117">
        <f t="shared" si="87"/>
        <v>0</v>
      </c>
      <c r="D216" s="117">
        <f aca="true" t="shared" si="89" ref="D216:O216">D23</f>
        <v>0</v>
      </c>
      <c r="E216" s="117">
        <f t="shared" si="89"/>
        <v>0</v>
      </c>
      <c r="F216" s="117">
        <f t="shared" si="89"/>
        <v>0</v>
      </c>
      <c r="G216" s="117">
        <f t="shared" si="89"/>
        <v>0</v>
      </c>
      <c r="H216" s="117">
        <f t="shared" si="89"/>
        <v>0</v>
      </c>
      <c r="I216" s="117">
        <f t="shared" si="89"/>
        <v>0</v>
      </c>
      <c r="J216" s="117">
        <f t="shared" si="89"/>
        <v>0</v>
      </c>
      <c r="K216" s="117">
        <f t="shared" si="89"/>
        <v>0</v>
      </c>
      <c r="L216" s="117">
        <f t="shared" si="89"/>
        <v>0</v>
      </c>
      <c r="M216" s="117">
        <f t="shared" si="89"/>
        <v>0</v>
      </c>
      <c r="N216" s="117">
        <f t="shared" si="89"/>
        <v>0</v>
      </c>
      <c r="O216" s="117">
        <f t="shared" si="89"/>
        <v>0</v>
      </c>
      <c r="P216" s="144"/>
    </row>
    <row r="217" spans="1:16" ht="15.75" hidden="1">
      <c r="A217" s="134" t="s">
        <v>210</v>
      </c>
      <c r="B217" s="141"/>
      <c r="C217" s="117">
        <f t="shared" si="87"/>
        <v>0</v>
      </c>
      <c r="D217" s="117">
        <f aca="true" t="shared" si="90" ref="D217:O217">D26</f>
        <v>0</v>
      </c>
      <c r="E217" s="117">
        <f t="shared" si="90"/>
        <v>0</v>
      </c>
      <c r="F217" s="117">
        <f t="shared" si="90"/>
        <v>0</v>
      </c>
      <c r="G217" s="117">
        <f t="shared" si="90"/>
        <v>0</v>
      </c>
      <c r="H217" s="117">
        <f t="shared" si="90"/>
        <v>0</v>
      </c>
      <c r="I217" s="117">
        <f t="shared" si="90"/>
        <v>0</v>
      </c>
      <c r="J217" s="117">
        <f t="shared" si="90"/>
        <v>0</v>
      </c>
      <c r="K217" s="117">
        <f t="shared" si="90"/>
        <v>0</v>
      </c>
      <c r="L217" s="117">
        <f t="shared" si="90"/>
        <v>0</v>
      </c>
      <c r="M217" s="117">
        <f t="shared" si="90"/>
        <v>0</v>
      </c>
      <c r="N217" s="117">
        <f t="shared" si="90"/>
        <v>0</v>
      </c>
      <c r="O217" s="117">
        <f t="shared" si="90"/>
        <v>0</v>
      </c>
      <c r="P217" s="144"/>
    </row>
    <row r="218" spans="1:16" ht="15.75" hidden="1">
      <c r="A218" s="134" t="s">
        <v>212</v>
      </c>
      <c r="B218" s="141">
        <v>3525</v>
      </c>
      <c r="C218" s="117">
        <f t="shared" si="87"/>
        <v>0</v>
      </c>
      <c r="D218" s="117">
        <f aca="true" t="shared" si="91" ref="D218:O218">D27</f>
        <v>0</v>
      </c>
      <c r="E218" s="117">
        <f t="shared" si="91"/>
        <v>0</v>
      </c>
      <c r="F218" s="117">
        <f t="shared" si="91"/>
        <v>0</v>
      </c>
      <c r="G218" s="117">
        <f t="shared" si="91"/>
        <v>0</v>
      </c>
      <c r="H218" s="117">
        <f t="shared" si="91"/>
        <v>0</v>
      </c>
      <c r="I218" s="117">
        <f t="shared" si="91"/>
        <v>0</v>
      </c>
      <c r="J218" s="117">
        <f t="shared" si="91"/>
        <v>0</v>
      </c>
      <c r="K218" s="117">
        <f t="shared" si="91"/>
        <v>0</v>
      </c>
      <c r="L218" s="117">
        <f t="shared" si="91"/>
        <v>0</v>
      </c>
      <c r="M218" s="117">
        <f t="shared" si="91"/>
        <v>0</v>
      </c>
      <c r="N218" s="117">
        <f t="shared" si="91"/>
        <v>0</v>
      </c>
      <c r="O218" s="117">
        <f t="shared" si="91"/>
        <v>0</v>
      </c>
      <c r="P218" s="144"/>
    </row>
    <row r="219" spans="1:16" ht="15.75" hidden="1">
      <c r="A219" s="135"/>
      <c r="B219" s="142"/>
      <c r="C219" s="136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45"/>
    </row>
    <row r="220" spans="1:16" ht="15.75" hidden="1">
      <c r="A220" s="137" t="s">
        <v>230</v>
      </c>
      <c r="B220" s="147">
        <f>B221+B222</f>
        <v>1072.3</v>
      </c>
      <c r="C220" s="138">
        <f t="shared" si="87"/>
        <v>0</v>
      </c>
      <c r="D220" s="138">
        <f>D221+D222</f>
        <v>0</v>
      </c>
      <c r="E220" s="138">
        <f aca="true" t="shared" si="92" ref="E220:O220">E221+E222</f>
        <v>0</v>
      </c>
      <c r="F220" s="138">
        <f t="shared" si="92"/>
        <v>0</v>
      </c>
      <c r="G220" s="138">
        <f t="shared" si="92"/>
        <v>0</v>
      </c>
      <c r="H220" s="138">
        <f t="shared" si="92"/>
        <v>0</v>
      </c>
      <c r="I220" s="138">
        <f t="shared" si="92"/>
        <v>0</v>
      </c>
      <c r="J220" s="138">
        <f t="shared" si="92"/>
        <v>0</v>
      </c>
      <c r="K220" s="138">
        <f t="shared" si="92"/>
        <v>0</v>
      </c>
      <c r="L220" s="138">
        <f t="shared" si="92"/>
        <v>0</v>
      </c>
      <c r="M220" s="138">
        <f t="shared" si="92"/>
        <v>0</v>
      </c>
      <c r="N220" s="138">
        <f t="shared" si="92"/>
        <v>0</v>
      </c>
      <c r="O220" s="138">
        <f t="shared" si="92"/>
        <v>0</v>
      </c>
      <c r="P220" s="148">
        <f>C220/B220*100</f>
        <v>0</v>
      </c>
    </row>
    <row r="221" spans="1:16" ht="15.75" hidden="1">
      <c r="A221" s="137" t="s">
        <v>228</v>
      </c>
      <c r="B221" s="147">
        <f>B53</f>
        <v>0</v>
      </c>
      <c r="C221" s="138">
        <f>SUM(D221:O221)</f>
        <v>0</v>
      </c>
      <c r="D221" s="138">
        <f aca="true" t="shared" si="93" ref="D221:O221">D53</f>
        <v>0</v>
      </c>
      <c r="E221" s="138">
        <f t="shared" si="93"/>
        <v>0</v>
      </c>
      <c r="F221" s="138">
        <f t="shared" si="93"/>
        <v>0</v>
      </c>
      <c r="G221" s="138">
        <f t="shared" si="93"/>
        <v>0</v>
      </c>
      <c r="H221" s="138">
        <f t="shared" si="93"/>
        <v>0</v>
      </c>
      <c r="I221" s="138">
        <f t="shared" si="93"/>
        <v>0</v>
      </c>
      <c r="J221" s="138">
        <f t="shared" si="93"/>
        <v>0</v>
      </c>
      <c r="K221" s="138">
        <f t="shared" si="93"/>
        <v>0</v>
      </c>
      <c r="L221" s="138">
        <f t="shared" si="93"/>
        <v>0</v>
      </c>
      <c r="M221" s="138">
        <f t="shared" si="93"/>
        <v>0</v>
      </c>
      <c r="N221" s="138">
        <f t="shared" si="93"/>
        <v>0</v>
      </c>
      <c r="O221" s="138">
        <f t="shared" si="93"/>
        <v>0</v>
      </c>
      <c r="P221" s="148" t="e">
        <f>C221/B221*100</f>
        <v>#DIV/0!</v>
      </c>
    </row>
    <row r="222" spans="1:16" ht="15.75" hidden="1">
      <c r="A222" s="137" t="s">
        <v>229</v>
      </c>
      <c r="B222" s="147">
        <f>B55</f>
        <v>1072.3</v>
      </c>
      <c r="C222" s="138">
        <f t="shared" si="87"/>
        <v>0</v>
      </c>
      <c r="D222" s="138">
        <f aca="true" t="shared" si="94" ref="D222:O222">D55</f>
        <v>0</v>
      </c>
      <c r="E222" s="138">
        <f t="shared" si="94"/>
        <v>0</v>
      </c>
      <c r="F222" s="138">
        <f t="shared" si="94"/>
        <v>0</v>
      </c>
      <c r="G222" s="138">
        <f t="shared" si="94"/>
        <v>0</v>
      </c>
      <c r="H222" s="138">
        <f t="shared" si="94"/>
        <v>0</v>
      </c>
      <c r="I222" s="138">
        <f t="shared" si="94"/>
        <v>0</v>
      </c>
      <c r="J222" s="138">
        <f t="shared" si="94"/>
        <v>0</v>
      </c>
      <c r="K222" s="138">
        <f t="shared" si="94"/>
        <v>0</v>
      </c>
      <c r="L222" s="138">
        <f t="shared" si="94"/>
        <v>0</v>
      </c>
      <c r="M222" s="138">
        <f t="shared" si="94"/>
        <v>0</v>
      </c>
      <c r="N222" s="138">
        <f t="shared" si="94"/>
        <v>0</v>
      </c>
      <c r="O222" s="138">
        <f t="shared" si="94"/>
        <v>0</v>
      </c>
      <c r="P222" s="148"/>
    </row>
    <row r="223" spans="1:16" ht="15.75" hidden="1">
      <c r="A223" s="134" t="s">
        <v>225</v>
      </c>
      <c r="B223" s="141">
        <v>1027</v>
      </c>
      <c r="C223" s="117">
        <f>SUM(D223:O223)</f>
        <v>2527.1000000000004</v>
      </c>
      <c r="D223" s="117">
        <f>D213+D208+D199+D192+D187+D101+D91+D84+D34</f>
        <v>1</v>
      </c>
      <c r="E223" s="117">
        <f aca="true" t="shared" si="95" ref="E223:O223">E213+E208+E199+E192+E187+E101+E91+E84+E34</f>
        <v>45</v>
      </c>
      <c r="F223" s="117">
        <f t="shared" si="95"/>
        <v>221</v>
      </c>
      <c r="G223" s="117">
        <f t="shared" si="95"/>
        <v>371</v>
      </c>
      <c r="H223" s="117">
        <f t="shared" si="95"/>
        <v>260</v>
      </c>
      <c r="I223" s="117">
        <f t="shared" si="95"/>
        <v>7</v>
      </c>
      <c r="J223" s="117">
        <f t="shared" si="95"/>
        <v>145</v>
      </c>
      <c r="K223" s="117">
        <f t="shared" si="95"/>
        <v>580.9</v>
      </c>
      <c r="L223" s="117">
        <f t="shared" si="95"/>
        <v>250</v>
      </c>
      <c r="M223" s="117">
        <f t="shared" si="95"/>
        <v>453.9</v>
      </c>
      <c r="N223" s="117">
        <f t="shared" si="95"/>
        <v>95</v>
      </c>
      <c r="O223" s="117">
        <f t="shared" si="95"/>
        <v>97.3</v>
      </c>
      <c r="P223" s="144">
        <f>C223/B223*100</f>
        <v>246.06621226874395</v>
      </c>
    </row>
    <row r="224" spans="1:17" ht="15.75" hidden="1">
      <c r="A224" s="134" t="s">
        <v>226</v>
      </c>
      <c r="B224" s="141">
        <v>1975</v>
      </c>
      <c r="C224" s="117">
        <f>SUM(D224:O224)</f>
        <v>1421</v>
      </c>
      <c r="D224" s="117">
        <f aca="true" t="shared" si="96" ref="D224:O224">SUM(D225:D235)</f>
        <v>0</v>
      </c>
      <c r="E224" s="117">
        <f t="shared" si="96"/>
        <v>0</v>
      </c>
      <c r="F224" s="117">
        <f t="shared" si="96"/>
        <v>70</v>
      </c>
      <c r="G224" s="117">
        <f t="shared" si="96"/>
        <v>0</v>
      </c>
      <c r="H224" s="117">
        <f t="shared" si="96"/>
        <v>34</v>
      </c>
      <c r="I224" s="117">
        <f t="shared" si="96"/>
        <v>80</v>
      </c>
      <c r="J224" s="117">
        <f t="shared" si="96"/>
        <v>60.5</v>
      </c>
      <c r="K224" s="117">
        <f t="shared" si="96"/>
        <v>20</v>
      </c>
      <c r="L224" s="117">
        <f t="shared" si="96"/>
        <v>0</v>
      </c>
      <c r="M224" s="117">
        <f t="shared" si="96"/>
        <v>2.5</v>
      </c>
      <c r="N224" s="117">
        <f t="shared" si="96"/>
        <v>935</v>
      </c>
      <c r="O224" s="117">
        <f t="shared" si="96"/>
        <v>219</v>
      </c>
      <c r="P224" s="144">
        <f>C224/B224*100</f>
        <v>71.9493670886076</v>
      </c>
      <c r="Q224" s="193"/>
    </row>
    <row r="225" spans="1:17" ht="15.75" hidden="1">
      <c r="A225" s="137" t="s">
        <v>237</v>
      </c>
      <c r="B225" s="147"/>
      <c r="C225" s="138">
        <f aca="true" t="shared" si="97" ref="C225:C235">SUM(D225:O225)</f>
        <v>1018.5</v>
      </c>
      <c r="D225" s="138"/>
      <c r="E225" s="138"/>
      <c r="F225" s="138"/>
      <c r="G225" s="138"/>
      <c r="H225" s="138">
        <v>1</v>
      </c>
      <c r="I225" s="138"/>
      <c r="J225" s="138">
        <v>2.5</v>
      </c>
      <c r="K225" s="138">
        <v>20</v>
      </c>
      <c r="L225" s="138"/>
      <c r="M225" s="138"/>
      <c r="N225" s="138">
        <v>805</v>
      </c>
      <c r="O225" s="138">
        <v>190</v>
      </c>
      <c r="P225" s="148"/>
      <c r="Q225" s="193"/>
    </row>
    <row r="226" spans="1:17" ht="15.75" hidden="1">
      <c r="A226" s="137" t="s">
        <v>292</v>
      </c>
      <c r="B226" s="147"/>
      <c r="C226" s="138">
        <f t="shared" si="97"/>
        <v>1</v>
      </c>
      <c r="D226" s="138"/>
      <c r="E226" s="138"/>
      <c r="F226" s="138"/>
      <c r="G226" s="138"/>
      <c r="H226" s="138"/>
      <c r="I226" s="138"/>
      <c r="J226" s="138">
        <v>1</v>
      </c>
      <c r="K226" s="138"/>
      <c r="L226" s="138"/>
      <c r="M226" s="138"/>
      <c r="N226" s="138"/>
      <c r="O226" s="138"/>
      <c r="P226" s="148"/>
      <c r="Q226" s="193"/>
    </row>
    <row r="227" spans="1:17" ht="15.75" hidden="1">
      <c r="A227" s="137" t="s">
        <v>293</v>
      </c>
      <c r="B227" s="147"/>
      <c r="C227" s="138">
        <f t="shared" si="97"/>
        <v>0</v>
      </c>
      <c r="D227" s="138"/>
      <c r="E227" s="138"/>
      <c r="F227" s="138"/>
      <c r="G227" s="138"/>
      <c r="H227" s="138"/>
      <c r="I227" s="138"/>
      <c r="J227" s="138"/>
      <c r="K227" s="138"/>
      <c r="L227" s="138"/>
      <c r="M227" s="138"/>
      <c r="N227" s="138"/>
      <c r="O227" s="138"/>
      <c r="P227" s="148"/>
      <c r="Q227" s="193"/>
    </row>
    <row r="228" spans="1:17" ht="15.75" hidden="1">
      <c r="A228" s="137" t="s">
        <v>236</v>
      </c>
      <c r="B228" s="147"/>
      <c r="C228" s="138">
        <f t="shared" si="97"/>
        <v>67</v>
      </c>
      <c r="D228" s="138"/>
      <c r="E228" s="138"/>
      <c r="F228" s="138"/>
      <c r="G228" s="138"/>
      <c r="H228" s="138"/>
      <c r="I228" s="138"/>
      <c r="J228" s="138"/>
      <c r="K228" s="138"/>
      <c r="L228" s="138"/>
      <c r="M228" s="138"/>
      <c r="N228" s="138">
        <v>50</v>
      </c>
      <c r="O228" s="138">
        <v>17</v>
      </c>
      <c r="P228" s="148"/>
      <c r="Q228" s="193"/>
    </row>
    <row r="229" spans="1:16" ht="15.75" hidden="1">
      <c r="A229" s="137" t="s">
        <v>241</v>
      </c>
      <c r="B229" s="147"/>
      <c r="C229" s="138">
        <f t="shared" si="97"/>
        <v>241</v>
      </c>
      <c r="D229" s="138"/>
      <c r="E229" s="138"/>
      <c r="F229" s="138">
        <v>30</v>
      </c>
      <c r="G229" s="138"/>
      <c r="H229" s="138">
        <v>13</v>
      </c>
      <c r="I229" s="138">
        <f>'[1]Đon duong'!$C$10</f>
        <v>78</v>
      </c>
      <c r="J229" s="138">
        <v>40</v>
      </c>
      <c r="K229" s="138"/>
      <c r="L229" s="138"/>
      <c r="M229" s="138"/>
      <c r="N229" s="138">
        <v>80</v>
      </c>
      <c r="O229" s="138"/>
      <c r="P229" s="148"/>
    </row>
    <row r="230" spans="1:16" ht="15.75" hidden="1">
      <c r="A230" s="137" t="s">
        <v>238</v>
      </c>
      <c r="B230" s="147"/>
      <c r="C230" s="138">
        <f t="shared" si="97"/>
        <v>9</v>
      </c>
      <c r="D230" s="138"/>
      <c r="E230" s="138"/>
      <c r="F230" s="138"/>
      <c r="G230" s="138"/>
      <c r="H230" s="138">
        <v>2</v>
      </c>
      <c r="I230" s="138">
        <f>'[1]Đon duong'!$C$11</f>
        <v>2</v>
      </c>
      <c r="J230" s="138">
        <v>5</v>
      </c>
      <c r="K230" s="138"/>
      <c r="L230" s="138"/>
      <c r="M230" s="138"/>
      <c r="N230" s="138"/>
      <c r="O230" s="138"/>
      <c r="P230" s="148"/>
    </row>
    <row r="231" spans="1:16" ht="15.75" hidden="1">
      <c r="A231" s="137" t="s">
        <v>242</v>
      </c>
      <c r="B231" s="147"/>
      <c r="C231" s="138">
        <f t="shared" si="97"/>
        <v>39</v>
      </c>
      <c r="D231" s="138"/>
      <c r="E231" s="138"/>
      <c r="F231" s="138">
        <v>20</v>
      </c>
      <c r="G231" s="138"/>
      <c r="H231" s="138">
        <v>10</v>
      </c>
      <c r="I231" s="138"/>
      <c r="J231" s="138"/>
      <c r="K231" s="138"/>
      <c r="L231" s="138"/>
      <c r="M231" s="138"/>
      <c r="N231" s="138"/>
      <c r="O231" s="138">
        <v>9</v>
      </c>
      <c r="P231" s="148"/>
    </row>
    <row r="232" spans="1:16" ht="15.75" hidden="1">
      <c r="A232" s="137" t="s">
        <v>294</v>
      </c>
      <c r="B232" s="147"/>
      <c r="C232" s="138">
        <f t="shared" si="97"/>
        <v>0</v>
      </c>
      <c r="D232" s="138"/>
      <c r="E232" s="138"/>
      <c r="F232" s="138"/>
      <c r="G232" s="138"/>
      <c r="H232" s="138"/>
      <c r="I232" s="138"/>
      <c r="J232" s="138"/>
      <c r="K232" s="138"/>
      <c r="L232" s="138"/>
      <c r="M232" s="138"/>
      <c r="N232" s="138"/>
      <c r="O232" s="138"/>
      <c r="P232" s="148"/>
    </row>
    <row r="233" spans="1:16" ht="15.75" hidden="1">
      <c r="A233" s="137" t="s">
        <v>239</v>
      </c>
      <c r="B233" s="147"/>
      <c r="C233" s="138">
        <f t="shared" si="97"/>
        <v>30</v>
      </c>
      <c r="D233" s="138"/>
      <c r="E233" s="138"/>
      <c r="F233" s="138">
        <v>20</v>
      </c>
      <c r="G233" s="138"/>
      <c r="H233" s="138">
        <v>3</v>
      </c>
      <c r="I233" s="138"/>
      <c r="J233" s="138">
        <v>7</v>
      </c>
      <c r="K233" s="138"/>
      <c r="L233" s="138"/>
      <c r="M233" s="138"/>
      <c r="N233" s="138"/>
      <c r="O233" s="138"/>
      <c r="P233" s="148"/>
    </row>
    <row r="234" spans="1:16" ht="15.75" hidden="1">
      <c r="A234" s="137" t="s">
        <v>240</v>
      </c>
      <c r="B234" s="147"/>
      <c r="C234" s="138">
        <f t="shared" si="97"/>
        <v>9</v>
      </c>
      <c r="D234" s="138"/>
      <c r="E234" s="138"/>
      <c r="F234" s="138"/>
      <c r="G234" s="138"/>
      <c r="H234" s="138">
        <v>5</v>
      </c>
      <c r="I234" s="138"/>
      <c r="J234" s="138">
        <v>4</v>
      </c>
      <c r="K234" s="138"/>
      <c r="L234" s="138"/>
      <c r="M234" s="138"/>
      <c r="N234" s="138"/>
      <c r="O234" s="138"/>
      <c r="P234" s="148"/>
    </row>
    <row r="235" spans="1:16" ht="15.75" hidden="1">
      <c r="A235" s="137" t="s">
        <v>295</v>
      </c>
      <c r="B235" s="147"/>
      <c r="C235" s="138">
        <f t="shared" si="97"/>
        <v>6.5</v>
      </c>
      <c r="D235" s="138"/>
      <c r="E235" s="138"/>
      <c r="F235" s="138"/>
      <c r="G235" s="138"/>
      <c r="H235" s="138"/>
      <c r="I235" s="138"/>
      <c r="J235" s="138">
        <v>1</v>
      </c>
      <c r="K235" s="138"/>
      <c r="L235" s="138"/>
      <c r="M235" s="138">
        <v>2.5</v>
      </c>
      <c r="N235" s="138"/>
      <c r="O235" s="138">
        <v>3</v>
      </c>
      <c r="P235" s="148"/>
    </row>
    <row r="236" spans="1:16" ht="15.75" hidden="1">
      <c r="A236" s="139" t="s">
        <v>227</v>
      </c>
      <c r="B236" s="143">
        <f>B224+B223+B222+B215</f>
        <v>11146.3</v>
      </c>
      <c r="C236" s="140">
        <f>SUM(D236:O236)</f>
        <v>3948.1000000000004</v>
      </c>
      <c r="D236" s="140">
        <f>D224+D223+D220+D215</f>
        <v>1</v>
      </c>
      <c r="E236" s="140">
        <f aca="true" t="shared" si="98" ref="E236:O236">E224+E223+E220+E215</f>
        <v>45</v>
      </c>
      <c r="F236" s="140">
        <f t="shared" si="98"/>
        <v>291</v>
      </c>
      <c r="G236" s="140">
        <f t="shared" si="98"/>
        <v>371</v>
      </c>
      <c r="H236" s="140">
        <f t="shared" si="98"/>
        <v>294</v>
      </c>
      <c r="I236" s="140">
        <f t="shared" si="98"/>
        <v>87</v>
      </c>
      <c r="J236" s="140">
        <f t="shared" si="98"/>
        <v>205.5</v>
      </c>
      <c r="K236" s="140">
        <f t="shared" si="98"/>
        <v>600.9</v>
      </c>
      <c r="L236" s="140">
        <f t="shared" si="98"/>
        <v>250</v>
      </c>
      <c r="M236" s="140">
        <f t="shared" si="98"/>
        <v>456.4</v>
      </c>
      <c r="N236" s="140">
        <f t="shared" si="98"/>
        <v>1030</v>
      </c>
      <c r="O236" s="140">
        <f t="shared" si="98"/>
        <v>316.3</v>
      </c>
      <c r="P236" s="146">
        <f>C236/B236*100</f>
        <v>35.4207225716157</v>
      </c>
    </row>
  </sheetData>
  <sheetProtection/>
  <mergeCells count="1">
    <mergeCell ref="A1:P1"/>
  </mergeCells>
  <printOptions horizontalCentered="1"/>
  <pageMargins left="0.25" right="0.25" top="0.75" bottom="0.5" header="0.5" footer="0.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pane xSplit="2" ySplit="4" topLeftCell="C2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31" sqref="E31"/>
    </sheetView>
  </sheetViews>
  <sheetFormatPr defaultColWidth="9.00390625" defaultRowHeight="15.75"/>
  <cols>
    <col min="1" max="1" width="14.75390625" style="0" customWidth="1"/>
    <col min="2" max="2" width="5.75390625" style="0" customWidth="1"/>
    <col min="3" max="3" width="8.00390625" style="0" customWidth="1"/>
    <col min="4" max="4" width="9.00390625" style="0" customWidth="1"/>
    <col min="5" max="5" width="8.00390625" style="0" customWidth="1"/>
    <col min="6" max="6" width="8.75390625" style="0" customWidth="1"/>
    <col min="7" max="7" width="7.875" style="0" customWidth="1"/>
    <col min="8" max="8" width="8.875" style="0" customWidth="1"/>
    <col min="9" max="9" width="5.875" style="0" customWidth="1"/>
    <col min="10" max="10" width="6.375" style="0" customWidth="1"/>
    <col min="11" max="11" width="5.375" style="0" customWidth="1"/>
    <col min="12" max="12" width="5.25390625" style="0" customWidth="1"/>
    <col min="13" max="13" width="5.00390625" style="0" hidden="1" customWidth="1"/>
    <col min="14" max="14" width="4.875" style="0" hidden="1" customWidth="1"/>
    <col min="15" max="15" width="5.375" style="0" hidden="1" customWidth="1"/>
  </cols>
  <sheetData>
    <row r="1" spans="1:12" ht="15.75">
      <c r="A1" s="422" t="s">
        <v>317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</row>
    <row r="3" spans="1:15" ht="21.75" customHeight="1">
      <c r="A3" s="423" t="s">
        <v>254</v>
      </c>
      <c r="B3" s="421" t="s">
        <v>255</v>
      </c>
      <c r="C3" s="424" t="s">
        <v>304</v>
      </c>
      <c r="D3" s="424"/>
      <c r="E3" s="421" t="s">
        <v>318</v>
      </c>
      <c r="F3" s="421"/>
      <c r="G3" s="425" t="s">
        <v>319</v>
      </c>
      <c r="H3" s="425"/>
      <c r="I3" s="421" t="s">
        <v>320</v>
      </c>
      <c r="J3" s="421"/>
      <c r="K3" s="421" t="s">
        <v>321</v>
      </c>
      <c r="L3" s="421"/>
      <c r="M3" s="421" t="s">
        <v>307</v>
      </c>
      <c r="N3" s="421"/>
      <c r="O3" s="421"/>
    </row>
    <row r="4" spans="1:15" ht="42">
      <c r="A4" s="423"/>
      <c r="B4" s="421"/>
      <c r="C4" s="326" t="s">
        <v>256</v>
      </c>
      <c r="D4" s="326" t="s">
        <v>257</v>
      </c>
      <c r="E4" s="330" t="s">
        <v>256</v>
      </c>
      <c r="F4" s="330" t="s">
        <v>257</v>
      </c>
      <c r="G4" s="230" t="s">
        <v>256</v>
      </c>
      <c r="H4" s="230" t="s">
        <v>257</v>
      </c>
      <c r="I4" s="330" t="s">
        <v>305</v>
      </c>
      <c r="J4" s="326" t="s">
        <v>306</v>
      </c>
      <c r="K4" s="330" t="s">
        <v>305</v>
      </c>
      <c r="L4" s="326" t="s">
        <v>306</v>
      </c>
      <c r="M4" s="331" t="s">
        <v>308</v>
      </c>
      <c r="N4" s="331" t="s">
        <v>309</v>
      </c>
      <c r="O4" s="331" t="s">
        <v>310</v>
      </c>
    </row>
    <row r="5" spans="1:15" ht="15.75">
      <c r="A5" s="332" t="s">
        <v>258</v>
      </c>
      <c r="B5" s="333"/>
      <c r="C5" s="402"/>
      <c r="D5" s="402">
        <f>D6+D28</f>
        <v>20408157.499142364</v>
      </c>
      <c r="E5" s="334"/>
      <c r="F5" s="334">
        <f>F6+F28</f>
        <v>49534698.566662714</v>
      </c>
      <c r="G5" s="407"/>
      <c r="H5" s="407">
        <f>H6+H28</f>
        <v>10370744.146988695</v>
      </c>
      <c r="I5" s="351"/>
      <c r="J5" s="359">
        <f>H5/D5*100</f>
        <v>50.81666067808678</v>
      </c>
      <c r="K5" s="351"/>
      <c r="L5" s="359">
        <f>H5/F5*100</f>
        <v>20.936322309566442</v>
      </c>
      <c r="M5" s="356">
        <f>D5/$D$5*100</f>
        <v>100</v>
      </c>
      <c r="N5" s="356">
        <f>F5/$F$5*100</f>
        <v>100</v>
      </c>
      <c r="O5" s="356">
        <f>H5/$H$5*100</f>
        <v>100</v>
      </c>
    </row>
    <row r="6" spans="1:15" ht="15.75">
      <c r="A6" s="335" t="s">
        <v>259</v>
      </c>
      <c r="B6" s="336"/>
      <c r="C6" s="403"/>
      <c r="D6" s="403">
        <f>D7+D11+D12+D13+D14+D15+D16+D17+D18+D23+D24+D25</f>
        <v>17771580.75982808</v>
      </c>
      <c r="E6" s="337"/>
      <c r="F6" s="337">
        <f>F7+F11+F12+F13+F14+F15+F16+F17+F18+F23+F24+F25</f>
        <v>29804929.712705575</v>
      </c>
      <c r="G6" s="408"/>
      <c r="H6" s="408">
        <f>H7+H11+H12+H13+H14+H15+H16+H17+H18+H23+H24+H25</f>
        <v>10035973.744600719</v>
      </c>
      <c r="I6" s="354"/>
      <c r="J6" s="360">
        <f aca="true" t="shared" si="0" ref="J6:J38">H6/D6*100</f>
        <v>56.47203746380638</v>
      </c>
      <c r="K6" s="354"/>
      <c r="L6" s="360">
        <f aca="true" t="shared" si="1" ref="L6:L38">H6/F6*100</f>
        <v>33.67219396703517</v>
      </c>
      <c r="M6" s="358">
        <f>D6/$D$5*100</f>
        <v>87.0807703271347</v>
      </c>
      <c r="N6" s="358">
        <f>F6/$F$5*100</f>
        <v>60.16980132138031</v>
      </c>
      <c r="O6" s="358">
        <f aca="true" t="shared" si="2" ref="O6:O38">H6/$H$5*100</f>
        <v>96.77197318106452</v>
      </c>
    </row>
    <row r="7" spans="1:15" ht="15.75">
      <c r="A7" s="338" t="s">
        <v>260</v>
      </c>
      <c r="B7" s="339"/>
      <c r="C7" s="404"/>
      <c r="D7" s="404">
        <f>D8+D9+D10</f>
        <v>427156.8171</v>
      </c>
      <c r="E7" s="340"/>
      <c r="F7" s="340">
        <f>F8+F9+F10</f>
        <v>730245.696</v>
      </c>
      <c r="G7" s="409"/>
      <c r="H7" s="409">
        <f>H8+H9+H10</f>
        <v>35140.05</v>
      </c>
      <c r="I7" s="355"/>
      <c r="J7" s="361">
        <f t="shared" si="0"/>
        <v>8.226498698667264</v>
      </c>
      <c r="K7" s="355"/>
      <c r="L7" s="361">
        <f t="shared" si="1"/>
        <v>4.812085876367836</v>
      </c>
      <c r="M7" s="357">
        <f>D7/$D$5*100</f>
        <v>2.0930689951699506</v>
      </c>
      <c r="N7" s="357">
        <f aca="true" t="shared" si="3" ref="N7:N38">F7/$F$5*100</f>
        <v>1.4742104365836632</v>
      </c>
      <c r="O7" s="357">
        <f t="shared" si="2"/>
        <v>0.33883826948139933</v>
      </c>
    </row>
    <row r="8" spans="1:15" ht="15.75">
      <c r="A8" s="341" t="s">
        <v>261</v>
      </c>
      <c r="B8" s="342">
        <f>4650/1000</f>
        <v>4.65</v>
      </c>
      <c r="C8" s="405">
        <f>' BTH thang 2'!B17</f>
        <v>50880.7</v>
      </c>
      <c r="D8" s="405">
        <f>(C8*1000*B8)/1000</f>
        <v>236595.25500000003</v>
      </c>
      <c r="E8" s="343">
        <f>' BTH thang 2'!C17</f>
        <v>51327</v>
      </c>
      <c r="F8" s="343">
        <f>(E8*1000*B8)/1000</f>
        <v>238670.55000000002</v>
      </c>
      <c r="G8" s="410">
        <f>' BTH thang 2'!D17</f>
        <v>7557</v>
      </c>
      <c r="H8" s="410">
        <f>(G8*1000*B8)/1000</f>
        <v>35140.05</v>
      </c>
      <c r="I8" s="352">
        <f aca="true" t="shared" si="4" ref="I8:I38">G8/C8*100</f>
        <v>14.852390002496035</v>
      </c>
      <c r="J8" s="362">
        <f t="shared" si="0"/>
        <v>14.852390002496033</v>
      </c>
      <c r="K8" s="352">
        <f aca="true" t="shared" si="5" ref="K8:K38">G8/E8*100</f>
        <v>14.723245075691157</v>
      </c>
      <c r="L8" s="362">
        <f t="shared" si="1"/>
        <v>14.723245075691157</v>
      </c>
      <c r="M8" s="353">
        <f aca="true" t="shared" si="6" ref="M8:M37">D8/$D$5*100</f>
        <v>1.159317077055794</v>
      </c>
      <c r="N8" s="353">
        <f t="shared" si="3"/>
        <v>0.48182497704877</v>
      </c>
      <c r="O8" s="353">
        <f t="shared" si="2"/>
        <v>0.33883826948139933</v>
      </c>
    </row>
    <row r="9" spans="1:15" ht="15.75">
      <c r="A9" s="341" t="s">
        <v>262</v>
      </c>
      <c r="B9" s="342">
        <f>5889/1000</f>
        <v>5.889</v>
      </c>
      <c r="C9" s="405">
        <f>' BTH thang 2'!B21</f>
        <v>32358.9</v>
      </c>
      <c r="D9" s="405">
        <f aca="true" t="shared" si="7" ref="D9:D18">(C9*1000*B9)/1000</f>
        <v>190561.56209999998</v>
      </c>
      <c r="E9" s="343">
        <f>' BTH thang 2'!C21</f>
        <v>31946</v>
      </c>
      <c r="F9" s="343">
        <f aca="true" t="shared" si="8" ref="F9:F18">(E9*1000*B9)/1000</f>
        <v>188129.994</v>
      </c>
      <c r="G9" s="410">
        <f>' BTH thang 2'!D21</f>
        <v>0</v>
      </c>
      <c r="H9" s="410">
        <f aca="true" t="shared" si="9" ref="H9:H18">(G9*1000*B9)/1000</f>
        <v>0</v>
      </c>
      <c r="I9" s="352">
        <f t="shared" si="4"/>
        <v>0</v>
      </c>
      <c r="J9" s="362">
        <f t="shared" si="0"/>
        <v>0</v>
      </c>
      <c r="K9" s="352">
        <f t="shared" si="5"/>
        <v>0</v>
      </c>
      <c r="L9" s="362">
        <f t="shared" si="1"/>
        <v>0</v>
      </c>
      <c r="M9" s="353">
        <f t="shared" si="6"/>
        <v>0.9337519181141569</v>
      </c>
      <c r="N9" s="353">
        <f t="shared" si="3"/>
        <v>0.3797943652504896</v>
      </c>
      <c r="O9" s="353">
        <f t="shared" si="2"/>
        <v>0</v>
      </c>
    </row>
    <row r="10" spans="1:15" ht="15.75">
      <c r="A10" s="341" t="s">
        <v>263</v>
      </c>
      <c r="B10" s="342">
        <f>4601/1000</f>
        <v>4.601</v>
      </c>
      <c r="C10" s="405">
        <f>' BTH thang 2'!B25</f>
        <v>0</v>
      </c>
      <c r="D10" s="405">
        <f t="shared" si="7"/>
        <v>0</v>
      </c>
      <c r="E10" s="343">
        <f>' BTH thang 2'!C25</f>
        <v>65952</v>
      </c>
      <c r="F10" s="343">
        <f t="shared" si="8"/>
        <v>303445.152</v>
      </c>
      <c r="G10" s="410">
        <f>' BTH thang 2'!D25</f>
        <v>0</v>
      </c>
      <c r="H10" s="410">
        <f t="shared" si="9"/>
        <v>0</v>
      </c>
      <c r="I10" s="352" t="e">
        <f t="shared" si="4"/>
        <v>#DIV/0!</v>
      </c>
      <c r="J10" s="362" t="e">
        <f t="shared" si="0"/>
        <v>#DIV/0!</v>
      </c>
      <c r="K10" s="352">
        <f t="shared" si="5"/>
        <v>0</v>
      </c>
      <c r="L10" s="362">
        <f t="shared" si="1"/>
        <v>0</v>
      </c>
      <c r="M10" s="353">
        <f t="shared" si="6"/>
        <v>0</v>
      </c>
      <c r="N10" s="353">
        <f t="shared" si="3"/>
        <v>0.6125910942844038</v>
      </c>
      <c r="O10" s="353">
        <f t="shared" si="2"/>
        <v>0</v>
      </c>
    </row>
    <row r="11" spans="1:15" ht="15.75">
      <c r="A11" s="341" t="s">
        <v>264</v>
      </c>
      <c r="B11" s="342">
        <f>4373/1000</f>
        <v>4.373</v>
      </c>
      <c r="C11" s="405">
        <f>' BTH thang 2'!B33</f>
        <v>31231.800000000003</v>
      </c>
      <c r="D11" s="405">
        <f t="shared" si="7"/>
        <v>136576.66140000004</v>
      </c>
      <c r="E11" s="343">
        <f>' BTH thang 2'!C33</f>
        <v>39185.5</v>
      </c>
      <c r="F11" s="343">
        <f t="shared" si="8"/>
        <v>171358.1915</v>
      </c>
      <c r="G11" s="410">
        <f>' BTH thang 2'!D33</f>
        <v>891.65</v>
      </c>
      <c r="H11" s="410">
        <f t="shared" si="9"/>
        <v>3899.1854500000004</v>
      </c>
      <c r="I11" s="352">
        <f t="shared" si="4"/>
        <v>2.854942718639335</v>
      </c>
      <c r="J11" s="362">
        <f t="shared" si="0"/>
        <v>2.854942718639335</v>
      </c>
      <c r="K11" s="352">
        <f t="shared" si="5"/>
        <v>2.275459034591877</v>
      </c>
      <c r="L11" s="362">
        <f t="shared" si="1"/>
        <v>2.2754590345918775</v>
      </c>
      <c r="M11" s="353">
        <f t="shared" si="6"/>
        <v>0.6692258299444208</v>
      </c>
      <c r="N11" s="353">
        <f t="shared" si="3"/>
        <v>0.3459356702643297</v>
      </c>
      <c r="O11" s="353">
        <f t="shared" si="2"/>
        <v>0.0375979331351279</v>
      </c>
    </row>
    <row r="12" spans="1:15" ht="15.75">
      <c r="A12" s="341" t="s">
        <v>265</v>
      </c>
      <c r="B12" s="342">
        <f>1297/1000</f>
        <v>1.297</v>
      </c>
      <c r="C12" s="405">
        <f>' BTH thang 2'!B49</f>
        <v>0</v>
      </c>
      <c r="D12" s="405">
        <f t="shared" si="7"/>
        <v>0</v>
      </c>
      <c r="E12" s="343">
        <f>' BTH thang 2'!C49</f>
        <v>8087</v>
      </c>
      <c r="F12" s="343">
        <f t="shared" si="8"/>
        <v>10488.839</v>
      </c>
      <c r="G12" s="410">
        <f>' BTH thang 2'!D49</f>
        <v>0</v>
      </c>
      <c r="H12" s="410">
        <f t="shared" si="9"/>
        <v>0</v>
      </c>
      <c r="I12" s="352" t="e">
        <f t="shared" si="4"/>
        <v>#DIV/0!</v>
      </c>
      <c r="J12" s="362" t="e">
        <f t="shared" si="0"/>
        <v>#DIV/0!</v>
      </c>
      <c r="K12" s="352">
        <f t="shared" si="5"/>
        <v>0</v>
      </c>
      <c r="L12" s="362">
        <f t="shared" si="1"/>
        <v>0</v>
      </c>
      <c r="M12" s="353">
        <f t="shared" si="6"/>
        <v>0</v>
      </c>
      <c r="N12" s="353">
        <f t="shared" si="3"/>
        <v>0.021174730650443646</v>
      </c>
      <c r="O12" s="353">
        <f t="shared" si="2"/>
        <v>0</v>
      </c>
    </row>
    <row r="13" spans="1:15" ht="15.75">
      <c r="A13" s="341" t="s">
        <v>266</v>
      </c>
      <c r="B13" s="342">
        <f>3126/1000</f>
        <v>3.126</v>
      </c>
      <c r="C13" s="405">
        <f>' BTH thang 2'!B53</f>
        <v>32577.7</v>
      </c>
      <c r="D13" s="405">
        <f t="shared" si="7"/>
        <v>101837.89020000001</v>
      </c>
      <c r="E13" s="343">
        <f>' BTH thang 2'!C53</f>
        <v>48302.8</v>
      </c>
      <c r="F13" s="343">
        <f t="shared" si="8"/>
        <v>150994.55279999998</v>
      </c>
      <c r="G13" s="410">
        <f>' BTH thang 2'!D53</f>
        <v>130</v>
      </c>
      <c r="H13" s="410">
        <f t="shared" si="9"/>
        <v>406.38</v>
      </c>
      <c r="I13" s="352">
        <f t="shared" si="4"/>
        <v>0.3990459731656931</v>
      </c>
      <c r="J13" s="362">
        <f t="shared" si="0"/>
        <v>0.399045973165693</v>
      </c>
      <c r="K13" s="352">
        <f t="shared" si="5"/>
        <v>0.2691355366562601</v>
      </c>
      <c r="L13" s="362">
        <f t="shared" si="1"/>
        <v>0.2691355366562601</v>
      </c>
      <c r="M13" s="353">
        <f t="shared" si="6"/>
        <v>0.4990058029701097</v>
      </c>
      <c r="N13" s="353">
        <f t="shared" si="3"/>
        <v>0.3048258234514031</v>
      </c>
      <c r="O13" s="353">
        <f t="shared" si="2"/>
        <v>0.003918523051385841</v>
      </c>
    </row>
    <row r="14" spans="1:15" ht="15.75">
      <c r="A14" s="341" t="s">
        <v>267</v>
      </c>
      <c r="B14" s="342">
        <f>5822/1000</f>
        <v>5.822</v>
      </c>
      <c r="C14" s="405">
        <f>' BTH thang 2'!B69</f>
        <v>303.5</v>
      </c>
      <c r="D14" s="405">
        <f t="shared" si="7"/>
        <v>1766.977</v>
      </c>
      <c r="E14" s="343">
        <f>' BTH thang 2'!C69</f>
        <v>6189.5</v>
      </c>
      <c r="F14" s="343">
        <f t="shared" si="8"/>
        <v>36035.269</v>
      </c>
      <c r="G14" s="410">
        <f>' BTH thang 2'!D69</f>
        <v>0</v>
      </c>
      <c r="H14" s="410">
        <f t="shared" si="9"/>
        <v>0</v>
      </c>
      <c r="I14" s="352">
        <f>G14/C14*100</f>
        <v>0</v>
      </c>
      <c r="J14" s="362">
        <f t="shared" si="0"/>
        <v>0</v>
      </c>
      <c r="K14" s="352">
        <f t="shared" si="5"/>
        <v>0</v>
      </c>
      <c r="L14" s="362">
        <f t="shared" si="1"/>
        <v>0</v>
      </c>
      <c r="M14" s="353">
        <f t="shared" si="6"/>
        <v>0.008658189746302457</v>
      </c>
      <c r="N14" s="353">
        <f t="shared" si="3"/>
        <v>0.07274752858646051</v>
      </c>
      <c r="O14" s="353">
        <f t="shared" si="2"/>
        <v>0</v>
      </c>
    </row>
    <row r="15" spans="1:15" ht="15.75">
      <c r="A15" s="341" t="s">
        <v>268</v>
      </c>
      <c r="B15" s="342">
        <f>14023/1000</f>
        <v>14.023</v>
      </c>
      <c r="C15" s="405">
        <f>' BTH thang 2'!B74</f>
        <v>531.9</v>
      </c>
      <c r="D15" s="405">
        <f t="shared" si="7"/>
        <v>7458.8337</v>
      </c>
      <c r="E15" s="343">
        <f>' BTH thang 2'!C74</f>
        <v>998.2</v>
      </c>
      <c r="F15" s="343">
        <f t="shared" si="8"/>
        <v>13997.7586</v>
      </c>
      <c r="G15" s="410">
        <f>' BTH thang 2'!D74</f>
        <v>0</v>
      </c>
      <c r="H15" s="410">
        <f t="shared" si="9"/>
        <v>0</v>
      </c>
      <c r="I15" s="352">
        <f t="shared" si="4"/>
        <v>0</v>
      </c>
      <c r="J15" s="362">
        <f t="shared" si="0"/>
        <v>0</v>
      </c>
      <c r="K15" s="352">
        <f t="shared" si="5"/>
        <v>0</v>
      </c>
      <c r="L15" s="362">
        <f t="shared" si="1"/>
        <v>0</v>
      </c>
      <c r="M15" s="353">
        <f t="shared" si="6"/>
        <v>0.03654829545642938</v>
      </c>
      <c r="N15" s="353">
        <f t="shared" si="3"/>
        <v>0.02825849153227837</v>
      </c>
      <c r="O15" s="353">
        <f t="shared" si="2"/>
        <v>0</v>
      </c>
    </row>
    <row r="16" spans="1:15" ht="15.75">
      <c r="A16" s="341" t="s">
        <v>269</v>
      </c>
      <c r="B16" s="342">
        <f>(24308+21510+15119)/3/1000</f>
        <v>20.31233333333333</v>
      </c>
      <c r="C16" s="405">
        <f>' BTH thang 2'!B86</f>
        <v>1242.3</v>
      </c>
      <c r="D16" s="405">
        <f t="shared" si="7"/>
        <v>25234.0117</v>
      </c>
      <c r="E16" s="343">
        <f>' BTH thang 2'!C86</f>
        <v>1215.6</v>
      </c>
      <c r="F16" s="343">
        <f t="shared" si="8"/>
        <v>24691.6724</v>
      </c>
      <c r="G16" s="410">
        <f>' BTH thang 2'!D86</f>
        <v>28.75</v>
      </c>
      <c r="H16" s="410">
        <f t="shared" si="9"/>
        <v>583.9795833333333</v>
      </c>
      <c r="I16" s="352">
        <f t="shared" si="4"/>
        <v>2.314255815825485</v>
      </c>
      <c r="J16" s="362">
        <f t="shared" si="0"/>
        <v>2.3142558158254847</v>
      </c>
      <c r="K16" s="352">
        <f t="shared" si="5"/>
        <v>2.3650871997367555</v>
      </c>
      <c r="L16" s="362">
        <f t="shared" si="1"/>
        <v>2.3650871997367555</v>
      </c>
      <c r="M16" s="353">
        <f t="shared" si="6"/>
        <v>0.1236466922653867</v>
      </c>
      <c r="N16" s="353">
        <f t="shared" si="3"/>
        <v>0.04984722450015616</v>
      </c>
      <c r="O16" s="353">
        <f t="shared" si="2"/>
        <v>0.005631028738693748</v>
      </c>
    </row>
    <row r="17" spans="1:15" ht="15.75">
      <c r="A17" s="341" t="s">
        <v>270</v>
      </c>
      <c r="B17" s="342">
        <f>699/1000</f>
        <v>0.699</v>
      </c>
      <c r="C17" s="405">
        <f>' BTH thang 2'!B102</f>
        <v>0</v>
      </c>
      <c r="D17" s="405">
        <f t="shared" si="7"/>
        <v>0</v>
      </c>
      <c r="E17" s="343">
        <f>' BTH thang 2'!C102</f>
        <v>13438</v>
      </c>
      <c r="F17" s="343">
        <f t="shared" si="8"/>
        <v>9393.162</v>
      </c>
      <c r="G17" s="410">
        <f>' BTH thang 2'!D102</f>
        <v>0</v>
      </c>
      <c r="H17" s="410">
        <f t="shared" si="9"/>
        <v>0</v>
      </c>
      <c r="I17" s="352" t="e">
        <f t="shared" si="4"/>
        <v>#DIV/0!</v>
      </c>
      <c r="J17" s="362" t="e">
        <f t="shared" si="0"/>
        <v>#DIV/0!</v>
      </c>
      <c r="K17" s="352">
        <f t="shared" si="5"/>
        <v>0</v>
      </c>
      <c r="L17" s="362">
        <f t="shared" si="1"/>
        <v>0</v>
      </c>
      <c r="M17" s="353">
        <f t="shared" si="6"/>
        <v>0</v>
      </c>
      <c r="N17" s="353">
        <f t="shared" si="3"/>
        <v>0.018962792288639625</v>
      </c>
      <c r="O17" s="353">
        <f t="shared" si="2"/>
        <v>0</v>
      </c>
    </row>
    <row r="18" spans="1:15" ht="14.25" customHeight="1">
      <c r="A18" s="341" t="s">
        <v>271</v>
      </c>
      <c r="B18" s="342">
        <f>(B19+B20+B21+B22)/4/1000</f>
        <v>5.304419230769231</v>
      </c>
      <c r="C18" s="405">
        <f>' BTH thang 2'!B106</f>
        <v>1759031.2</v>
      </c>
      <c r="D18" s="405">
        <f t="shared" si="7"/>
        <v>9330638.924803076</v>
      </c>
      <c r="E18" s="343">
        <f>' BTH thang 2'!C106</f>
        <v>2946583.8</v>
      </c>
      <c r="F18" s="343">
        <f t="shared" si="8"/>
        <v>15629915.773793075</v>
      </c>
      <c r="G18" s="410">
        <f>' BTH thang 2'!D106</f>
        <v>948062.98</v>
      </c>
      <c r="H18" s="410">
        <f t="shared" si="9"/>
        <v>5028923.503092384</v>
      </c>
      <c r="I18" s="352">
        <f t="shared" si="4"/>
        <v>53.89688255671645</v>
      </c>
      <c r="J18" s="362">
        <f t="shared" si="0"/>
        <v>53.89688255671644</v>
      </c>
      <c r="K18" s="352">
        <f t="shared" si="5"/>
        <v>32.17498786221522</v>
      </c>
      <c r="L18" s="362">
        <f t="shared" si="1"/>
        <v>32.17498786221522</v>
      </c>
      <c r="M18" s="353">
        <f t="shared" si="6"/>
        <v>45.720143649397</v>
      </c>
      <c r="N18" s="353">
        <f t="shared" si="3"/>
        <v>31.55346903496077</v>
      </c>
      <c r="O18" s="353">
        <f t="shared" si="2"/>
        <v>48.49144315793972</v>
      </c>
    </row>
    <row r="19" spans="1:15" ht="34.5" hidden="1">
      <c r="A19" s="344" t="s">
        <v>272</v>
      </c>
      <c r="B19" s="345">
        <f>(3101+3400+3745+2006+5453+4350+3918+5396+2748+6331+7750+6893+3866+4489+4303)/15</f>
        <v>4516.6</v>
      </c>
      <c r="C19" s="406"/>
      <c r="D19" s="406"/>
      <c r="E19" s="346"/>
      <c r="F19" s="346"/>
      <c r="G19" s="411"/>
      <c r="H19" s="411"/>
      <c r="I19" s="352" t="e">
        <f t="shared" si="4"/>
        <v>#DIV/0!</v>
      </c>
      <c r="J19" s="362" t="e">
        <f t="shared" si="0"/>
        <v>#DIV/0!</v>
      </c>
      <c r="K19" s="352" t="e">
        <f t="shared" si="5"/>
        <v>#DIV/0!</v>
      </c>
      <c r="L19" s="362" t="e">
        <f t="shared" si="1"/>
        <v>#DIV/0!</v>
      </c>
      <c r="M19" s="353">
        <f t="shared" si="6"/>
        <v>0</v>
      </c>
      <c r="N19" s="353">
        <f t="shared" si="3"/>
        <v>0</v>
      </c>
      <c r="O19" s="353">
        <f t="shared" si="2"/>
        <v>0</v>
      </c>
    </row>
    <row r="20" spans="1:15" ht="34.5" hidden="1">
      <c r="A20" s="344" t="s">
        <v>273</v>
      </c>
      <c r="B20" s="345">
        <f>(3954+38120+3983+4099+4432+4721+4700+4379+8958+4490+5800+5268+6703)/13</f>
        <v>7662.076923076923</v>
      </c>
      <c r="C20" s="406"/>
      <c r="D20" s="406"/>
      <c r="E20" s="346"/>
      <c r="F20" s="346"/>
      <c r="G20" s="411"/>
      <c r="H20" s="411"/>
      <c r="I20" s="352" t="e">
        <f t="shared" si="4"/>
        <v>#DIV/0!</v>
      </c>
      <c r="J20" s="362" t="e">
        <f t="shared" si="0"/>
        <v>#DIV/0!</v>
      </c>
      <c r="K20" s="352" t="e">
        <f t="shared" si="5"/>
        <v>#DIV/0!</v>
      </c>
      <c r="L20" s="362" t="e">
        <f t="shared" si="1"/>
        <v>#DIV/0!</v>
      </c>
      <c r="M20" s="353">
        <f t="shared" si="6"/>
        <v>0</v>
      </c>
      <c r="N20" s="353">
        <f t="shared" si="3"/>
        <v>0</v>
      </c>
      <c r="O20" s="353">
        <f t="shared" si="2"/>
        <v>0</v>
      </c>
    </row>
    <row r="21" spans="1:15" ht="34.5" hidden="1">
      <c r="A21" s="344" t="s">
        <v>274</v>
      </c>
      <c r="B21" s="345">
        <f>(4755+4477+5279+11326+8238+6390+4958)/7</f>
        <v>6489</v>
      </c>
      <c r="C21" s="406"/>
      <c r="D21" s="406"/>
      <c r="E21" s="346"/>
      <c r="F21" s="346"/>
      <c r="G21" s="411"/>
      <c r="H21" s="411"/>
      <c r="I21" s="352" t="e">
        <f t="shared" si="4"/>
        <v>#DIV/0!</v>
      </c>
      <c r="J21" s="362" t="e">
        <f t="shared" si="0"/>
        <v>#DIV/0!</v>
      </c>
      <c r="K21" s="352" t="e">
        <f t="shared" si="5"/>
        <v>#DIV/0!</v>
      </c>
      <c r="L21" s="362" t="e">
        <f t="shared" si="1"/>
        <v>#DIV/0!</v>
      </c>
      <c r="M21" s="353">
        <f t="shared" si="6"/>
        <v>0</v>
      </c>
      <c r="N21" s="353">
        <f t="shared" si="3"/>
        <v>0</v>
      </c>
      <c r="O21" s="353">
        <f t="shared" si="2"/>
        <v>0</v>
      </c>
    </row>
    <row r="22" spans="1:15" ht="15.75" hidden="1">
      <c r="A22" s="347" t="s">
        <v>275</v>
      </c>
      <c r="B22" s="348">
        <f>(2250+2850)/2</f>
        <v>2550</v>
      </c>
      <c r="C22" s="405"/>
      <c r="D22" s="405"/>
      <c r="E22" s="349"/>
      <c r="F22" s="349"/>
      <c r="G22" s="410"/>
      <c r="H22" s="410"/>
      <c r="I22" s="352" t="e">
        <f t="shared" si="4"/>
        <v>#DIV/0!</v>
      </c>
      <c r="J22" s="362" t="e">
        <f t="shared" si="0"/>
        <v>#DIV/0!</v>
      </c>
      <c r="K22" s="352" t="e">
        <f t="shared" si="5"/>
        <v>#DIV/0!</v>
      </c>
      <c r="L22" s="362" t="e">
        <f t="shared" si="1"/>
        <v>#DIV/0!</v>
      </c>
      <c r="M22" s="353">
        <f t="shared" si="6"/>
        <v>0</v>
      </c>
      <c r="N22" s="353">
        <f t="shared" si="3"/>
        <v>0</v>
      </c>
      <c r="O22" s="353">
        <f t="shared" si="2"/>
        <v>0</v>
      </c>
    </row>
    <row r="23" spans="1:15" ht="15.75">
      <c r="A23" s="341" t="s">
        <v>276</v>
      </c>
      <c r="B23" s="342">
        <f>(1251+1262+1061+721+850+16750+1650+1262)/8/1000</f>
        <v>3.100875</v>
      </c>
      <c r="C23" s="405">
        <f>' BTH thang 2'!B122</f>
        <v>2432410.2</v>
      </c>
      <c r="D23" s="405">
        <f>(C23*1000*B23)/1000</f>
        <v>7542599.978924999</v>
      </c>
      <c r="E23" s="343">
        <f>' BTH thang 2'!C122</f>
        <v>3995333.5</v>
      </c>
      <c r="F23" s="343">
        <f>(E23*1000*B23)/1000</f>
        <v>12389029.7668125</v>
      </c>
      <c r="G23" s="410">
        <f>' BTH thang 2'!D122</f>
        <v>1491633</v>
      </c>
      <c r="H23" s="410">
        <f>(G23*1000*B23)/1000</f>
        <v>4625367.478875</v>
      </c>
      <c r="I23" s="352">
        <f t="shared" si="4"/>
        <v>61.323250494509516</v>
      </c>
      <c r="J23" s="362">
        <f t="shared" si="0"/>
        <v>61.32325049450953</v>
      </c>
      <c r="K23" s="352">
        <f t="shared" si="5"/>
        <v>37.3343802213257</v>
      </c>
      <c r="L23" s="362">
        <f t="shared" si="1"/>
        <v>37.33438022132571</v>
      </c>
      <c r="M23" s="353">
        <f t="shared" si="6"/>
        <v>36.95875033913263</v>
      </c>
      <c r="N23" s="353">
        <f t="shared" si="3"/>
        <v>25.010810856433523</v>
      </c>
      <c r="O23" s="353">
        <f t="shared" si="2"/>
        <v>44.60015032014888</v>
      </c>
    </row>
    <row r="24" spans="1:15" ht="15.75">
      <c r="A24" s="341" t="s">
        <v>277</v>
      </c>
      <c r="B24" s="342">
        <f>32934/1000</f>
        <v>32.934</v>
      </c>
      <c r="C24" s="405">
        <f>' BTH thang 2'!B138</f>
        <v>1900.5</v>
      </c>
      <c r="D24" s="405">
        <f>(C24*1000*B24)/1000</f>
        <v>62591.066999999995</v>
      </c>
      <c r="E24" s="343">
        <f>' BTH thang 2'!C138</f>
        <v>9079.2</v>
      </c>
      <c r="F24" s="343">
        <f>(E24*1000*B24)/1000</f>
        <v>299014.37279999995</v>
      </c>
      <c r="G24" s="410">
        <f>' BTH thang 2'!D138</f>
        <v>393.6</v>
      </c>
      <c r="H24" s="410">
        <f>(G24*1000*B24)/1000</f>
        <v>12962.8224</v>
      </c>
      <c r="I24" s="352">
        <f t="shared" si="4"/>
        <v>20.710339384372535</v>
      </c>
      <c r="J24" s="362">
        <f t="shared" si="0"/>
        <v>20.710339384372535</v>
      </c>
      <c r="K24" s="352">
        <f t="shared" si="5"/>
        <v>4.335183716627015</v>
      </c>
      <c r="L24" s="362">
        <f t="shared" si="1"/>
        <v>4.335183716627016</v>
      </c>
      <c r="M24" s="353">
        <f t="shared" si="6"/>
        <v>0.3066963149545976</v>
      </c>
      <c r="N24" s="353">
        <f t="shared" si="3"/>
        <v>0.6036462953289056</v>
      </c>
      <c r="O24" s="353">
        <f t="shared" si="2"/>
        <v>0.12499413943949193</v>
      </c>
    </row>
    <row r="25" spans="1:15" ht="15.75">
      <c r="A25" s="341" t="s">
        <v>278</v>
      </c>
      <c r="B25" s="342">
        <f>42333/1000</f>
        <v>42.333</v>
      </c>
      <c r="C25" s="405">
        <f>' BTH thang 2'!B142</f>
        <v>3206</v>
      </c>
      <c r="D25" s="405">
        <f>(C25*1000*B25)/1000</f>
        <v>135719.598</v>
      </c>
      <c r="E25" s="343">
        <f>' BTH thang 2'!C142</f>
        <v>8026</v>
      </c>
      <c r="F25" s="343">
        <f>(E25*1000*B25)/1000</f>
        <v>339764.658</v>
      </c>
      <c r="G25" s="410">
        <f>' BTH thang 2'!D142</f>
        <v>7764.4</v>
      </c>
      <c r="H25" s="410">
        <f>(G25*1000*B25)/1000</f>
        <v>328690.3452</v>
      </c>
      <c r="I25" s="352">
        <f t="shared" si="4"/>
        <v>242.1834061135371</v>
      </c>
      <c r="J25" s="362">
        <f t="shared" si="0"/>
        <v>242.1834061135371</v>
      </c>
      <c r="K25" s="352">
        <f t="shared" si="5"/>
        <v>96.74059307251433</v>
      </c>
      <c r="L25" s="362">
        <f t="shared" si="1"/>
        <v>96.74059307251433</v>
      </c>
      <c r="M25" s="353">
        <f t="shared" si="6"/>
        <v>0.6650262180978538</v>
      </c>
      <c r="N25" s="353">
        <f t="shared" si="3"/>
        <v>0.6859124367997358</v>
      </c>
      <c r="O25" s="353">
        <f t="shared" si="2"/>
        <v>3.1693998091298035</v>
      </c>
    </row>
    <row r="26" spans="1:15" ht="0.75" customHeight="1" hidden="1">
      <c r="A26" s="341"/>
      <c r="B26" s="342"/>
      <c r="C26" s="405"/>
      <c r="D26" s="405"/>
      <c r="E26" s="343"/>
      <c r="F26" s="343"/>
      <c r="G26" s="410"/>
      <c r="H26" s="410"/>
      <c r="I26" s="352" t="e">
        <f t="shared" si="4"/>
        <v>#DIV/0!</v>
      </c>
      <c r="J26" s="362" t="e">
        <f t="shared" si="0"/>
        <v>#DIV/0!</v>
      </c>
      <c r="K26" s="352" t="e">
        <f t="shared" si="5"/>
        <v>#DIV/0!</v>
      </c>
      <c r="L26" s="362" t="e">
        <f t="shared" si="1"/>
        <v>#DIV/0!</v>
      </c>
      <c r="M26" s="353">
        <f t="shared" si="6"/>
        <v>0</v>
      </c>
      <c r="N26" s="353">
        <f t="shared" si="3"/>
        <v>0</v>
      </c>
      <c r="O26" s="353">
        <f t="shared" si="2"/>
        <v>0</v>
      </c>
    </row>
    <row r="27" spans="1:15" ht="15.75" hidden="1">
      <c r="A27" s="341"/>
      <c r="B27" s="342"/>
      <c r="C27" s="405"/>
      <c r="D27" s="405"/>
      <c r="E27" s="343"/>
      <c r="F27" s="343"/>
      <c r="G27" s="410"/>
      <c r="H27" s="410"/>
      <c r="I27" s="352" t="e">
        <f t="shared" si="4"/>
        <v>#DIV/0!</v>
      </c>
      <c r="J27" s="362" t="e">
        <f t="shared" si="0"/>
        <v>#DIV/0!</v>
      </c>
      <c r="K27" s="352" t="e">
        <f t="shared" si="5"/>
        <v>#DIV/0!</v>
      </c>
      <c r="L27" s="362" t="e">
        <f t="shared" si="1"/>
        <v>#DIV/0!</v>
      </c>
      <c r="M27" s="353">
        <f t="shared" si="6"/>
        <v>0</v>
      </c>
      <c r="N27" s="353">
        <f t="shared" si="3"/>
        <v>0</v>
      </c>
      <c r="O27" s="353">
        <f t="shared" si="2"/>
        <v>0</v>
      </c>
    </row>
    <row r="28" spans="1:15" ht="15.75">
      <c r="A28" s="335" t="s">
        <v>279</v>
      </c>
      <c r="B28" s="350"/>
      <c r="C28" s="403"/>
      <c r="D28" s="403">
        <f>D29+D30+D31+D32+D33+D34+D35+D36+D37+D38</f>
        <v>2636576.739314286</v>
      </c>
      <c r="E28" s="337"/>
      <c r="F28" s="337">
        <f>F29+F30+F31+F32+F33+F34+F35+F36+F37+F38</f>
        <v>19729768.853957143</v>
      </c>
      <c r="G28" s="408"/>
      <c r="H28" s="408">
        <f>H29+H30+H31+H32+H33+H34+H35+H36+H37+H38</f>
        <v>334770.40238797624</v>
      </c>
      <c r="I28" s="354" t="e">
        <f t="shared" si="4"/>
        <v>#DIV/0!</v>
      </c>
      <c r="J28" s="360">
        <f t="shared" si="0"/>
        <v>12.697161337888554</v>
      </c>
      <c r="K28" s="354" t="e">
        <f t="shared" si="5"/>
        <v>#DIV/0!</v>
      </c>
      <c r="L28" s="360">
        <f t="shared" si="1"/>
        <v>1.6967781268295616</v>
      </c>
      <c r="M28" s="358">
        <f t="shared" si="6"/>
        <v>12.919229672865304</v>
      </c>
      <c r="N28" s="358">
        <f t="shared" si="3"/>
        <v>39.8301986786197</v>
      </c>
      <c r="O28" s="358">
        <f t="shared" si="2"/>
        <v>3.228026818935476</v>
      </c>
    </row>
    <row r="29" spans="1:15" ht="15.75">
      <c r="A29" s="341" t="s">
        <v>280</v>
      </c>
      <c r="B29" s="342">
        <f>26873/1000</f>
        <v>26.873</v>
      </c>
      <c r="C29" s="405">
        <f>' BTH thang 2'!B152</f>
        <v>0</v>
      </c>
      <c r="D29" s="405">
        <f aca="true" t="shared" si="10" ref="D29:D38">(C29*1000*B29)/1000</f>
        <v>0</v>
      </c>
      <c r="E29" s="343">
        <f>' BTH thang 2'!C152</f>
        <v>545338.7</v>
      </c>
      <c r="F29" s="343">
        <f aca="true" t="shared" si="11" ref="F29:F38">(E29*1000*B29)/1000</f>
        <v>14654886.8851</v>
      </c>
      <c r="G29" s="410">
        <f>' BTH thang 2'!D152</f>
        <v>0</v>
      </c>
      <c r="H29" s="410">
        <f aca="true" t="shared" si="12" ref="H29:H38">(G29*1000*B29)/1000</f>
        <v>0</v>
      </c>
      <c r="I29" s="352" t="e">
        <f t="shared" si="4"/>
        <v>#DIV/0!</v>
      </c>
      <c r="J29" s="362" t="e">
        <f t="shared" si="0"/>
        <v>#DIV/0!</v>
      </c>
      <c r="K29" s="352">
        <f t="shared" si="5"/>
        <v>0</v>
      </c>
      <c r="L29" s="362">
        <f t="shared" si="1"/>
        <v>0</v>
      </c>
      <c r="M29" s="353">
        <f t="shared" si="6"/>
        <v>0</v>
      </c>
      <c r="N29" s="353">
        <f t="shared" si="3"/>
        <v>29.585093498404504</v>
      </c>
      <c r="O29" s="353">
        <f t="shared" si="2"/>
        <v>0</v>
      </c>
    </row>
    <row r="30" spans="1:15" ht="15.75">
      <c r="A30" s="341" t="s">
        <v>281</v>
      </c>
      <c r="B30" s="342">
        <f>3477/1000</f>
        <v>3.477</v>
      </c>
      <c r="C30" s="405">
        <f>' BTH thang 2'!B163</f>
        <v>120993.8</v>
      </c>
      <c r="D30" s="405">
        <f t="shared" si="10"/>
        <v>420695.44259999995</v>
      </c>
      <c r="E30" s="343">
        <f>' BTH thang 2'!C163</f>
        <v>166295.6</v>
      </c>
      <c r="F30" s="343">
        <f t="shared" si="11"/>
        <v>578209.8011999999</v>
      </c>
      <c r="G30" s="410">
        <f>' BTH thang 2'!D163</f>
        <v>13678.589999999998</v>
      </c>
      <c r="H30" s="410">
        <f t="shared" si="12"/>
        <v>47560.457429999995</v>
      </c>
      <c r="I30" s="352">
        <f t="shared" si="4"/>
        <v>11.30519910937585</v>
      </c>
      <c r="J30" s="362">
        <f t="shared" si="0"/>
        <v>11.305199109375852</v>
      </c>
      <c r="K30" s="352">
        <f t="shared" si="5"/>
        <v>8.22546718012984</v>
      </c>
      <c r="L30" s="362">
        <f t="shared" si="1"/>
        <v>8.225467180129842</v>
      </c>
      <c r="M30" s="353">
        <f t="shared" si="6"/>
        <v>2.0614082511744596</v>
      </c>
      <c r="N30" s="353">
        <f t="shared" si="3"/>
        <v>1.1672823655560511</v>
      </c>
      <c r="O30" s="353">
        <f t="shared" si="2"/>
        <v>0.4586021673652985</v>
      </c>
    </row>
    <row r="31" spans="1:15" ht="15.75">
      <c r="A31" s="341" t="s">
        <v>282</v>
      </c>
      <c r="B31" s="342">
        <f>15213/1000</f>
        <v>15.213</v>
      </c>
      <c r="C31" s="405">
        <f>' BTH thang 2'!B170</f>
        <v>19138</v>
      </c>
      <c r="D31" s="405">
        <f t="shared" si="10"/>
        <v>291146.394</v>
      </c>
      <c r="E31" s="343">
        <f>' BTH thang 2'!C170</f>
        <v>19180.2</v>
      </c>
      <c r="F31" s="343">
        <f t="shared" si="11"/>
        <v>291788.38259999995</v>
      </c>
      <c r="G31" s="410">
        <f>' BTH thang 2'!D170</f>
        <v>0</v>
      </c>
      <c r="H31" s="410">
        <f t="shared" si="12"/>
        <v>0</v>
      </c>
      <c r="I31" s="352">
        <f t="shared" si="4"/>
        <v>0</v>
      </c>
      <c r="J31" s="362">
        <f t="shared" si="0"/>
        <v>0</v>
      </c>
      <c r="K31" s="352">
        <f t="shared" si="5"/>
        <v>0</v>
      </c>
      <c r="L31" s="362">
        <f t="shared" si="1"/>
        <v>0</v>
      </c>
      <c r="M31" s="353">
        <f t="shared" si="6"/>
        <v>1.426617733679462</v>
      </c>
      <c r="N31" s="353">
        <f t="shared" si="3"/>
        <v>0.5890585610555751</v>
      </c>
      <c r="O31" s="353">
        <f t="shared" si="2"/>
        <v>0</v>
      </c>
    </row>
    <row r="32" spans="1:15" ht="15.75">
      <c r="A32" s="341" t="s">
        <v>283</v>
      </c>
      <c r="B32" s="342">
        <f>48343/1000</f>
        <v>48.343</v>
      </c>
      <c r="C32" s="405">
        <f>' BTH thang 2'!B177</f>
        <v>0</v>
      </c>
      <c r="D32" s="405">
        <f t="shared" si="10"/>
        <v>0</v>
      </c>
      <c r="E32" s="343">
        <f>' BTH thang 2'!C177</f>
        <v>6470.3</v>
      </c>
      <c r="F32" s="343">
        <f t="shared" si="11"/>
        <v>312793.71290000004</v>
      </c>
      <c r="G32" s="410">
        <f>' BTH thang 2'!D177</f>
        <v>0</v>
      </c>
      <c r="H32" s="410">
        <f t="shared" si="12"/>
        <v>0</v>
      </c>
      <c r="I32" s="352" t="e">
        <f t="shared" si="4"/>
        <v>#DIV/0!</v>
      </c>
      <c r="J32" s="362" t="e">
        <f t="shared" si="0"/>
        <v>#DIV/0!</v>
      </c>
      <c r="K32" s="352">
        <f t="shared" si="5"/>
        <v>0</v>
      </c>
      <c r="L32" s="362">
        <f t="shared" si="1"/>
        <v>0</v>
      </c>
      <c r="M32" s="353">
        <f t="shared" si="6"/>
        <v>0</v>
      </c>
      <c r="N32" s="353">
        <f t="shared" si="3"/>
        <v>0.6314638464571438</v>
      </c>
      <c r="O32" s="353">
        <f t="shared" si="2"/>
        <v>0</v>
      </c>
    </row>
    <row r="33" spans="1:15" ht="15.75">
      <c r="A33" s="341" t="s">
        <v>284</v>
      </c>
      <c r="B33" s="342">
        <f>2130/1000</f>
        <v>2.13</v>
      </c>
      <c r="C33" s="405">
        <f>' BTH thang 2'!B182</f>
        <v>141875.4</v>
      </c>
      <c r="D33" s="405">
        <f t="shared" si="10"/>
        <v>302194.602</v>
      </c>
      <c r="E33" s="343">
        <f>' BTH thang 2'!C182</f>
        <v>277509</v>
      </c>
      <c r="F33" s="343">
        <f t="shared" si="11"/>
        <v>591094.17</v>
      </c>
      <c r="G33" s="410">
        <f>' BTH thang 2'!D182</f>
        <v>21169.461666666666</v>
      </c>
      <c r="H33" s="410">
        <f t="shared" si="12"/>
        <v>45090.95335</v>
      </c>
      <c r="I33" s="352">
        <f t="shared" si="4"/>
        <v>14.92116439260553</v>
      </c>
      <c r="J33" s="362">
        <f t="shared" si="0"/>
        <v>14.921164392605531</v>
      </c>
      <c r="K33" s="352">
        <f t="shared" si="5"/>
        <v>7.628387427675018</v>
      </c>
      <c r="L33" s="362">
        <f t="shared" si="1"/>
        <v>7.628387427675018</v>
      </c>
      <c r="M33" s="353">
        <f t="shared" si="6"/>
        <v>1.4807539681752235</v>
      </c>
      <c r="N33" s="353">
        <f t="shared" si="3"/>
        <v>1.1932931603581243</v>
      </c>
      <c r="O33" s="353">
        <f t="shared" si="2"/>
        <v>0.4347899505658217</v>
      </c>
    </row>
    <row r="34" spans="1:15" ht="15.75">
      <c r="A34" s="341" t="s">
        <v>285</v>
      </c>
      <c r="B34" s="342">
        <f>(5261+6200+3674+8156+4280+10797+8150+14103+4604+4188+5050+4250+4515+5410)/14/1000</f>
        <v>6.331285714285714</v>
      </c>
      <c r="C34" s="405">
        <f>' BTH thang 2'!B188</f>
        <v>162660.8</v>
      </c>
      <c r="D34" s="405">
        <f t="shared" si="10"/>
        <v>1029851.9993142857</v>
      </c>
      <c r="E34" s="343">
        <f>' BTH thang 2'!C188</f>
        <v>310077.1</v>
      </c>
      <c r="F34" s="343">
        <f t="shared" si="11"/>
        <v>1963186.713557143</v>
      </c>
      <c r="G34" s="410">
        <f>' BTH thang 2'!D188</f>
        <v>23227.250000000004</v>
      </c>
      <c r="H34" s="410">
        <f t="shared" si="12"/>
        <v>147058.3561071429</v>
      </c>
      <c r="I34" s="352">
        <f t="shared" si="4"/>
        <v>14.27956213174902</v>
      </c>
      <c r="J34" s="362">
        <f t="shared" si="0"/>
        <v>14.27956213174902</v>
      </c>
      <c r="K34" s="352">
        <f t="shared" si="5"/>
        <v>7.490798256304644</v>
      </c>
      <c r="L34" s="362">
        <f t="shared" si="1"/>
        <v>7.490798256304643</v>
      </c>
      <c r="M34" s="353">
        <f t="shared" si="6"/>
        <v>5.0462762224250985</v>
      </c>
      <c r="N34" s="353">
        <f t="shared" si="3"/>
        <v>3.963255597316554</v>
      </c>
      <c r="O34" s="353">
        <f t="shared" si="2"/>
        <v>1.4180116105732254</v>
      </c>
    </row>
    <row r="35" spans="1:15" ht="15.75">
      <c r="A35" s="341" t="s">
        <v>286</v>
      </c>
      <c r="B35" s="342">
        <f>3948/1000</f>
        <v>3.948</v>
      </c>
      <c r="C35" s="405">
        <f>' BTH thang 2'!B193</f>
        <v>87.6</v>
      </c>
      <c r="D35" s="405">
        <f t="shared" si="10"/>
        <v>345.84479999999996</v>
      </c>
      <c r="E35" s="343">
        <f>' BTH thang 2'!C193</f>
        <v>158.2</v>
      </c>
      <c r="F35" s="343">
        <f t="shared" si="11"/>
        <v>624.5735999999999</v>
      </c>
      <c r="G35" s="410">
        <f>' BTH thang 2'!D193</f>
        <v>12.45375</v>
      </c>
      <c r="H35" s="410">
        <f t="shared" si="12"/>
        <v>49.167405</v>
      </c>
      <c r="I35" s="352">
        <f t="shared" si="4"/>
        <v>14.216609589041095</v>
      </c>
      <c r="J35" s="362">
        <f t="shared" si="0"/>
        <v>14.216609589041099</v>
      </c>
      <c r="K35" s="352">
        <f t="shared" si="5"/>
        <v>7.872155499367889</v>
      </c>
      <c r="L35" s="362">
        <f t="shared" si="1"/>
        <v>7.87215549936789</v>
      </c>
      <c r="M35" s="353">
        <f t="shared" si="6"/>
        <v>0.0016946399988070156</v>
      </c>
      <c r="N35" s="353">
        <f t="shared" si="3"/>
        <v>0.001260880994681864</v>
      </c>
      <c r="O35" s="353">
        <f t="shared" si="2"/>
        <v>0.0004740971747362653</v>
      </c>
    </row>
    <row r="36" spans="1:15" ht="15.75">
      <c r="A36" s="341" t="s">
        <v>287</v>
      </c>
      <c r="B36" s="342">
        <f>41529/1000</f>
        <v>41.529</v>
      </c>
      <c r="C36" s="405">
        <f>' BTH thang 2'!B202</f>
        <v>7305.4</v>
      </c>
      <c r="D36" s="405">
        <f t="shared" si="10"/>
        <v>303385.95660000003</v>
      </c>
      <c r="E36" s="343">
        <f>' BTH thang 2'!C202</f>
        <v>13435</v>
      </c>
      <c r="F36" s="343">
        <f t="shared" si="11"/>
        <v>557942.115</v>
      </c>
      <c r="G36" s="410">
        <f>' BTH thang 2'!D202</f>
        <v>888.1958333333333</v>
      </c>
      <c r="H36" s="410">
        <f t="shared" si="12"/>
        <v>36885.884762500005</v>
      </c>
      <c r="I36" s="352">
        <f t="shared" si="4"/>
        <v>12.158072567324627</v>
      </c>
      <c r="J36" s="362">
        <f t="shared" si="0"/>
        <v>12.158072567324627</v>
      </c>
      <c r="K36" s="352">
        <f t="shared" si="5"/>
        <v>6.611059421907951</v>
      </c>
      <c r="L36" s="362">
        <f t="shared" si="1"/>
        <v>6.611059421907953</v>
      </c>
      <c r="M36" s="353">
        <f t="shared" si="6"/>
        <v>1.486591607364602</v>
      </c>
      <c r="N36" s="353">
        <f t="shared" si="3"/>
        <v>1.1263662263920589</v>
      </c>
      <c r="O36" s="353">
        <f t="shared" si="2"/>
        <v>0.35567249793941147</v>
      </c>
    </row>
    <row r="37" spans="1:15" ht="15.75">
      <c r="A37" s="341" t="s">
        <v>289</v>
      </c>
      <c r="B37" s="342">
        <v>100</v>
      </c>
      <c r="C37" s="405">
        <f>' BTH thang 2'!B207</f>
        <v>1652.7</v>
      </c>
      <c r="D37" s="405">
        <f t="shared" si="10"/>
        <v>165270</v>
      </c>
      <c r="E37" s="343">
        <f>' BTH thang 2'!C207</f>
        <v>6144.4</v>
      </c>
      <c r="F37" s="343">
        <f t="shared" si="11"/>
        <v>614440</v>
      </c>
      <c r="G37" s="410">
        <f>' BTH thang 2'!D207</f>
        <v>465.1</v>
      </c>
      <c r="H37" s="410">
        <f t="shared" si="12"/>
        <v>46510</v>
      </c>
      <c r="I37" s="352">
        <f t="shared" si="4"/>
        <v>28.141828523022934</v>
      </c>
      <c r="J37" s="362">
        <f t="shared" si="0"/>
        <v>28.141828523022934</v>
      </c>
      <c r="K37" s="352">
        <f t="shared" si="5"/>
        <v>7.56949417355641</v>
      </c>
      <c r="L37" s="362">
        <f t="shared" si="1"/>
        <v>7.56949417355641</v>
      </c>
      <c r="M37" s="353">
        <f t="shared" si="6"/>
        <v>0.8098232288090944</v>
      </c>
      <c r="N37" s="353">
        <f t="shared" si="3"/>
        <v>1.2404234158669605</v>
      </c>
      <c r="O37" s="353">
        <f t="shared" si="2"/>
        <v>0.44847312151177593</v>
      </c>
    </row>
    <row r="38" spans="1:15" ht="15.75">
      <c r="A38" s="341" t="s">
        <v>288</v>
      </c>
      <c r="B38" s="342">
        <f>5000/1000</f>
        <v>5</v>
      </c>
      <c r="C38" s="405">
        <f>' BTH thang 2'!B212</f>
        <v>24737.3</v>
      </c>
      <c r="D38" s="405">
        <f t="shared" si="10"/>
        <v>123686.5</v>
      </c>
      <c r="E38" s="343">
        <f>' BTH thang 2'!C212</f>
        <v>32960.5</v>
      </c>
      <c r="F38" s="343">
        <f t="shared" si="11"/>
        <v>164802.5</v>
      </c>
      <c r="G38" s="410">
        <f>' BTH thang 2'!D212</f>
        <v>2323.1166666666672</v>
      </c>
      <c r="H38" s="410">
        <f t="shared" si="12"/>
        <v>11615.583333333338</v>
      </c>
      <c r="I38" s="352">
        <f t="shared" si="4"/>
        <v>9.391148858875734</v>
      </c>
      <c r="J38" s="362">
        <f t="shared" si="0"/>
        <v>9.391148858875736</v>
      </c>
      <c r="K38" s="352">
        <f t="shared" si="5"/>
        <v>7.04818393733914</v>
      </c>
      <c r="L38" s="362">
        <f t="shared" si="1"/>
        <v>7.04818393733914</v>
      </c>
      <c r="M38" s="353">
        <f>D38/$D$5*100</f>
        <v>0.6060640212385554</v>
      </c>
      <c r="N38" s="353">
        <f t="shared" si="3"/>
        <v>0.3327011262180437</v>
      </c>
      <c r="O38" s="353">
        <f t="shared" si="2"/>
        <v>0.11200337380520664</v>
      </c>
    </row>
  </sheetData>
  <sheetProtection/>
  <mergeCells count="9">
    <mergeCell ref="I3:J3"/>
    <mergeCell ref="K3:L3"/>
    <mergeCell ref="M3:O3"/>
    <mergeCell ref="A1:L1"/>
    <mergeCell ref="A3:A4"/>
    <mergeCell ref="B3:B4"/>
    <mergeCell ref="C3:D3"/>
    <mergeCell ref="E3:F3"/>
    <mergeCell ref="G3:H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Duong Xuan Tuan</dc:creator>
  <cp:keywords/>
  <dc:description/>
  <cp:lastModifiedBy>admin</cp:lastModifiedBy>
  <cp:lastPrinted>2022-11-18T10:11:48Z</cp:lastPrinted>
  <dcterms:created xsi:type="dcterms:W3CDTF">2017-05-23T07:30:30Z</dcterms:created>
  <dcterms:modified xsi:type="dcterms:W3CDTF">2023-02-15T02:12:47Z</dcterms:modified>
  <cp:category/>
  <cp:version/>
  <cp:contentType/>
  <cp:contentStatus/>
</cp:coreProperties>
</file>